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ogE2LSF0v+CPr/7UbhjUjKc0mdhMKlRnraTgUyuoigS8iWKxlTou8EJ4Iwez466Zd7NELunu0oGx1rJk44b7w==" workbookSaltValue="YUzin2x+IazvL3cmko8TK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G12" i="12"/>
  <c r="BA13" i="16"/>
  <c r="AP10" i="11"/>
  <c r="Y12" i="11"/>
  <c r="T10" i="21"/>
  <c r="ES19" i="8"/>
  <c r="G18" i="12"/>
  <c r="R8" i="9"/>
  <c r="X12" i="21" s="1"/>
  <c r="BM19" i="8"/>
  <c r="AL13" i="16"/>
  <c r="S13" i="16"/>
  <c r="P13" i="16"/>
  <c r="AM13" i="20"/>
  <c r="C11" i="6"/>
  <c r="M18" i="2"/>
  <c r="H13" i="12"/>
  <c r="F13" i="7"/>
  <c r="V9" i="11"/>
  <c r="R10" i="21"/>
  <c r="R13" i="21" s="1"/>
  <c r="AP15" i="20"/>
  <c r="R17" i="20"/>
  <c r="R18" i="20" s="1"/>
  <c r="T17" i="16"/>
  <c r="BU11" i="17"/>
  <c r="BU10" i="17"/>
  <c r="BW12" i="20"/>
  <c r="BW11" i="20"/>
  <c r="BW10" i="20"/>
  <c r="BV9" i="16"/>
  <c r="AZ12" i="11"/>
  <c r="T16" i="11"/>
  <c r="Q17" i="17"/>
  <c r="BI9" i="11"/>
  <c r="T12" i="11"/>
  <c r="BK16" i="11"/>
  <c r="BG16" i="11"/>
  <c r="BH16" i="11"/>
  <c r="BJ16" i="11"/>
  <c r="BD9" i="8"/>
  <c r="BA13" i="8"/>
  <c r="AA10" i="16"/>
  <c r="I19" i="8"/>
  <c r="S15" i="17"/>
  <c r="E13" i="17"/>
  <c r="S16" i="17"/>
  <c r="L17" i="2"/>
  <c r="AA11" i="16"/>
  <c r="T13" i="20"/>
  <c r="T13" i="16"/>
  <c r="AP13" i="16"/>
  <c r="V9" i="16"/>
  <c r="BG15" i="13"/>
  <c r="AE20" i="20"/>
  <c r="Q20" i="20"/>
  <c r="AQ20" i="21"/>
  <c r="AM20" i="20"/>
  <c r="E20" i="20"/>
  <c r="P20" i="20"/>
  <c r="W20" i="21"/>
  <c r="R20" i="20"/>
  <c r="O10" i="11"/>
  <c r="J20" i="20"/>
  <c r="M20" i="20"/>
  <c r="AH20" i="20"/>
  <c r="T20" i="21"/>
  <c r="I20" i="20"/>
  <c r="AJ20" i="20"/>
  <c r="W20" i="20"/>
  <c r="AO20" i="20"/>
  <c r="AU20" i="20"/>
  <c r="Y20" i="20"/>
  <c r="AV20" i="20"/>
  <c r="AQ20" i="20"/>
  <c r="F20" i="20"/>
  <c r="L20" i="20"/>
  <c r="AP20" i="20"/>
  <c r="AF20" i="20"/>
  <c r="O20" i="20"/>
  <c r="AG20" i="20"/>
  <c r="O16" i="11"/>
  <c r="G18" i="14"/>
  <c r="Z20" i="20"/>
  <c r="AK20" i="20"/>
  <c r="AB20" i="20"/>
  <c r="BM18" i="16" l="1"/>
  <c r="AO15" i="11"/>
  <c r="AV18" i="21"/>
  <c r="AC10" i="11"/>
  <c r="K9" i="7"/>
  <c r="J10" i="2"/>
  <c r="AO9" i="11"/>
  <c r="Q10" i="21"/>
  <c r="V11" i="11"/>
  <c r="BK15" i="11"/>
  <c r="V12" i="21"/>
  <c r="BL12" i="11"/>
  <c r="BF17" i="11"/>
  <c r="BH15"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S17" i="16"/>
  <c r="Q17" i="20"/>
  <c r="Q18" i="20" s="1"/>
  <c r="V15" i="11"/>
  <c r="BE12" i="21"/>
  <c r="BE13" i="21" s="1"/>
  <c r="BE19" i="21" s="1"/>
  <c r="F15" i="16"/>
  <c r="BL15" i="16" s="1"/>
  <c r="BE9" i="13"/>
  <c r="AL9" i="11"/>
  <c r="E11" i="6"/>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AL20" i="20"/>
  <c r="K20" i="20"/>
  <c r="U12" i="11"/>
  <c r="AN20" i="20"/>
  <c r="S20" i="20"/>
  <c r="N20" i="20"/>
  <c r="AD20" i="20"/>
  <c r="AZ20" i="20"/>
  <c r="G13" i="14"/>
  <c r="T20" i="20"/>
  <c r="X20" i="20"/>
  <c r="U10" i="11"/>
  <c r="AI20" i="20"/>
  <c r="H20" i="20"/>
  <c r="AA20" i="20"/>
  <c r="U16" i="11"/>
  <c r="K16"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F20" i="11"/>
  <c r="S20" i="16"/>
  <c r="X20" i="21"/>
  <c r="AT20" i="20"/>
  <c r="AY20" i="16"/>
  <c r="J20" i="21"/>
  <c r="V20" i="21"/>
  <c r="L20" i="17"/>
  <c r="G20" i="12"/>
  <c r="AB20" i="21"/>
  <c r="W20" i="11"/>
  <c r="AF20" i="17"/>
  <c r="O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7"/>
  <c r="AC20" i="11"/>
  <c r="J20" i="11"/>
  <c r="AT20" i="17"/>
  <c r="S20" i="17"/>
  <c r="AT20" i="16"/>
  <c r="AN20" i="11"/>
  <c r="J20" i="16"/>
  <c r="AN20" i="21"/>
  <c r="AK20" i="17"/>
  <c r="AX20" i="16"/>
  <c r="K20" i="16"/>
  <c r="BC20" i="16"/>
  <c r="T20" i="17"/>
  <c r="AP20" i="17"/>
  <c r="Y20" i="16"/>
  <c r="O20" i="17"/>
  <c r="BD20" i="16"/>
  <c r="AV20" i="16"/>
  <c r="M20" i="21"/>
  <c r="U20" i="11"/>
  <c r="BQ20" i="16"/>
  <c r="AG20" i="16"/>
  <c r="BB20" i="16"/>
  <c r="F20" i="17"/>
  <c r="P20" i="17"/>
  <c r="AB20" i="16"/>
  <c r="Q20" i="11"/>
  <c r="AO20" i="11"/>
  <c r="AW20" i="21"/>
  <c r="AL20" i="17"/>
  <c r="R20" i="21"/>
  <c r="I20" i="12"/>
  <c r="E20" i="16"/>
  <c r="AL20" i="11"/>
  <c r="AG20" i="17"/>
  <c r="O12" i="11"/>
  <c r="BD19" i="8" l="1"/>
  <c r="BM19" i="1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<sst xmlns="http://schemas.openxmlformats.org/spreadsheetml/2006/main" count="2080" uniqueCount="905">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</sst>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7zUFYExtRQ3P9WlV5GRo5uje1xZxM6KlWhxlGaGpW41lJJda/pim1R8NZLZllJq83mfoepQVAODTFzSn2przg==" saltValue="WprQVGNxCPPyHjQoG1hE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37.609490221224753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8</v>
      </c>
      <c r="F10" s="230">
        <f>IF(ISNUMBER(Datos!K10),Datos!K10," - ")</f>
        <v>10</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-0.11764705882352941</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8</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2267</v>
      </c>
      <c r="D15" s="229">
        <f>IF(ISNUMBER(IF(D_I="SI",Datos!I15,Datos!I15+Datos!AC15)),IF(D_I="SI",Datos!I15,Datos!I15+Datos!AC15)," - ")</f>
        <v>2192</v>
      </c>
      <c r="E15" s="230">
        <f>IF(ISNUMBER(IF(D_I="SI",Datos!J15,Datos!J15+Datos!AD15)),IF(D_I="SI",Datos!J15,Datos!J15+Datos!AD15)," - ")</f>
        <v>3224</v>
      </c>
      <c r="F15" s="230">
        <f>IF(ISNUMBER(IF(D_I="SI",Datos!K15,Datos!K15+Datos!AE15)),IF(D_I="SI",Datos!K15,Datos!K15+Datos!AE15)," - ")</f>
        <v>3153</v>
      </c>
      <c r="G15" s="1189" t="str">
        <f>IF(Datos!E15&lt;&gt;"",Datos!E15,Datos!D15)</f>
        <v>03</v>
      </c>
      <c r="H15" s="231">
        <f>IF(ISNUMBER(IF(D_I="SI",Datos!L15,Datos!L15+Datos!AF15)),IF(D_I="SI",Datos!L15,Datos!L15+Datos!AF15)," - ")</f>
        <v>2338</v>
      </c>
      <c r="I15" s="1199" t="str">
        <f>IF(ISNUMBER(Datos!AS15/Datos!BM15),Datos!AS15/Datos!BM15," - ")</f>
        <v xml:space="preserve"> - </v>
      </c>
      <c r="J15" s="1200">
        <f>IF(ISNUMBER(Datos!BY15/Datos!CN15),Datos!BY15/Datos!CN15," - ")</f>
        <v>0</v>
      </c>
      <c r="K15" s="234">
        <f t="shared" ref="K15:K17" si="3">IF(ISNUMBER((E15-F15)/C15),(E15-F15)/C15," - ")</f>
        <v>3.1318923687692984E-2</v>
      </c>
      <c r="L15" s="1201">
        <f>IF(ISNUMBER(NºAsuntos!I15/NºAsuntos!G15),(NºAsuntos!I15/NºAsuntos!G15)*11," - ")</f>
        <v>8.1566761814145252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10</v>
      </c>
      <c r="D16" s="229">
        <f>IF(ISNUMBER(IF(D_I="SI",Datos!I16,Datos!I16+Datos!AC16)),IF(D_I="SI",Datos!I16,Datos!I16+Datos!AC16)," - ")</f>
        <v>10</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10</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45</v>
      </c>
      <c r="D17" s="229">
        <f>IF(ISNUMBER(IF(D_I="SI",Datos!I17,Datos!I17+Datos!AC17)),IF(D_I="SI",Datos!I17,Datos!I17+Datos!AC17)," - ")</f>
        <v>45</v>
      </c>
      <c r="E17" s="230">
        <f>IF(ISNUMBER(IF(D_I="SI",Datos!J17,Datos!J17+Datos!AD17)),IF(D_I="SI",Datos!J17,Datos!J17+Datos!AD17)," - ")</f>
        <v>0</v>
      </c>
      <c r="F17" s="230">
        <f>IF(ISNUMBER(IF(D_I="SI",Datos!K17,Datos!K17+Datos!AE17)),IF(D_I="SI",Datos!K17,Datos!K17+Datos!AE17)," - ")</f>
        <v>3</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-6.6666666666666666E-2</v>
      </c>
      <c r="L17" s="1201">
        <f>IF(ISNUMBER(NºAsuntos!I17/NºAsuntos!G17),(NºAsuntos!I17/NºAsuntos!G17)*11," - ")</f>
        <v>154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2322</v>
      </c>
      <c r="D18" s="1206">
        <f>SUBTOTAL(9,D15:D17)</f>
        <v>2247</v>
      </c>
      <c r="E18" s="1207">
        <f>SUBTOTAL(9,E15:E17)</f>
        <v>3224</v>
      </c>
      <c r="F18" s="1207">
        <f>SUBTOTAL(9,F15:F17)</f>
        <v>3156</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2339</v>
      </c>
      <c r="D19" s="1228">
        <f>SUBTOTAL(9,D9:D18)</f>
        <v>2264</v>
      </c>
      <c r="E19" s="1229">
        <f>SUBTOTAL(9,E9:E18)</f>
        <v>3232</v>
      </c>
      <c r="F19" s="1229">
        <f>SUBTOTAL(9,F9:F18)</f>
        <v>3166</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s+2F2alJZso/SDdPWwuWBWM2Kq1RFFDRWHQds5xIRaZONnkHC3XBaGJ8uOkC4IYK/VC4wIhjjtXEAkiwjzIjWA==" saltValue="nGL1gA3DmH9vvj818rXA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LIrG3C4sLbj5XBxHXWEnKfpnZ6KvK1SvLB0XgmZfPjcmds0IRWXQAYYzZK9JbF8Ir6fR8C6REgBWDBVwhOFdA==" saltValue="7s+C7g2V96y1FVHsKwB0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9878</v>
      </c>
      <c r="J9" s="185">
        <v>3575</v>
      </c>
      <c r="K9" s="185">
        <v>2955</v>
      </c>
      <c r="L9" s="185">
        <v>10498</v>
      </c>
      <c r="M9" s="185">
        <v>979</v>
      </c>
      <c r="N9" s="185">
        <v>1219</v>
      </c>
      <c r="O9" s="185">
        <v>1174</v>
      </c>
      <c r="P9" s="185">
        <v>642</v>
      </c>
      <c r="Q9" s="185">
        <v>747</v>
      </c>
      <c r="R9" s="185">
        <v>9403</v>
      </c>
      <c r="S9" s="185">
        <v>7826</v>
      </c>
      <c r="T9" s="185">
        <v>2698</v>
      </c>
      <c r="U9" s="185">
        <v>2565</v>
      </c>
      <c r="V9" s="185">
        <v>7959</v>
      </c>
      <c r="W9" s="185">
        <v>1043</v>
      </c>
      <c r="X9" s="192">
        <v>881</v>
      </c>
      <c r="Y9" s="195">
        <v>183</v>
      </c>
      <c r="Z9" s="185">
        <v>147</v>
      </c>
      <c r="AA9" s="185">
        <v>164</v>
      </c>
      <c r="AB9" s="185">
        <v>166</v>
      </c>
      <c r="AC9" s="185">
        <v>0</v>
      </c>
      <c r="AD9" s="185">
        <v>0</v>
      </c>
      <c r="AE9" s="185">
        <v>0</v>
      </c>
      <c r="AF9" s="192">
        <v>0</v>
      </c>
      <c r="AG9" s="195">
        <v>118</v>
      </c>
      <c r="AH9" s="185">
        <v>170</v>
      </c>
      <c r="AI9" s="185">
        <v>173</v>
      </c>
      <c r="AJ9" s="196">
        <v>115</v>
      </c>
      <c r="AK9" s="184">
        <v>0</v>
      </c>
      <c r="AL9" s="185">
        <v>0</v>
      </c>
      <c r="AM9" s="185">
        <v>0</v>
      </c>
      <c r="AN9" s="192">
        <v>0</v>
      </c>
      <c r="AO9" s="262">
        <v>7</v>
      </c>
      <c r="AP9" s="158">
        <v>7</v>
      </c>
      <c r="AQ9" s="158">
        <v>7</v>
      </c>
      <c r="AR9" s="197">
        <v>7</v>
      </c>
      <c r="AS9" s="347" t="s">
        <v>800</v>
      </c>
      <c r="AT9" s="199"/>
      <c r="AU9" s="198"/>
      <c r="AV9" s="199"/>
      <c r="AW9" s="198"/>
      <c r="AX9" s="199"/>
      <c r="AY9" s="124">
        <f>IF(ISNUMBER(IF(J_V="SI",S9,S9+AG9)),IF(J_V="SI",S9,S9+AG9)," - ")</f>
        <v>7944</v>
      </c>
      <c r="AZ9" s="124">
        <f>IF(ISNUMBER(IF(J_V="SI",T9,T9+AH9)),IF(J_V="SI",T9,T9+AH9)," - ")</f>
        <v>2868</v>
      </c>
      <c r="BA9" s="125">
        <f>IF(ISNUMBER(IF(J_V="SI",U9,U9+AI9)),IF(J_V="SI",U9,U9+AI9)," - ")</f>
        <v>2738</v>
      </c>
      <c r="BB9" s="125">
        <f>IF(ISNUMBER(IF(J_V="SI",V9,V9+AJ9)),IF(J_V="SI",V9,V9+AJ9)," - ")</f>
        <v>8074</v>
      </c>
      <c r="BC9" s="126">
        <f>IF(ISNUMBER(X9),X9," - ")</f>
        <v>881</v>
      </c>
      <c r="BD9" s="127">
        <f>IF(ISNUMBER(BA9/AZ9),BA9/AZ9," - ")</f>
        <v>0.95467224546722451</v>
      </c>
      <c r="BE9" s="128">
        <f>IF(ISNUMBER(BB9/BA9),BB9/BA9, " - ")</f>
        <v>2.9488677867056245</v>
      </c>
      <c r="BF9" s="128">
        <f>IF(ISNUMBER(BC9/BA9),BC9/BA9, " - ")</f>
        <v>0.32176771365960555</v>
      </c>
      <c r="BG9" s="200">
        <f>IF(ISNUMBER((AY9+AZ9)/BA9),(AY9+AZ9)/BA9," - ")</f>
        <v>3.9488677867056245</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8</v>
      </c>
      <c r="K10" s="185">
        <v>10</v>
      </c>
      <c r="L10" s="185">
        <v>15</v>
      </c>
      <c r="M10" s="185">
        <v>2</v>
      </c>
      <c r="N10" s="185">
        <v>8</v>
      </c>
      <c r="O10" s="185">
        <v>0</v>
      </c>
      <c r="P10" s="185">
        <v>4</v>
      </c>
      <c r="Q10" s="185">
        <v>0</v>
      </c>
      <c r="R10" s="185">
        <v>69</v>
      </c>
      <c r="S10" s="185">
        <v>50</v>
      </c>
      <c r="T10" s="185">
        <v>13</v>
      </c>
      <c r="U10" s="185">
        <v>26</v>
      </c>
      <c r="V10" s="185">
        <v>37</v>
      </c>
      <c r="W10" s="185">
        <v>19</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50</v>
      </c>
      <c r="AZ10" s="130">
        <f t="shared" si="0"/>
        <v>13</v>
      </c>
      <c r="BA10" s="130">
        <f t="shared" si="0"/>
        <v>26</v>
      </c>
      <c r="BB10" s="130">
        <f t="shared" si="0"/>
        <v>37</v>
      </c>
      <c r="BC10" s="126">
        <f t="shared" si="0"/>
        <v>19</v>
      </c>
      <c r="BD10" s="127">
        <f>IF(ISNUMBER(BA10/AZ10),BA10/AZ10," - ")</f>
        <v>2</v>
      </c>
      <c r="BE10" s="128">
        <f>IF(ISNUMBER(BB10/BA10),BB10/BA10, " - ")</f>
        <v>1.4230769230769231</v>
      </c>
      <c r="BF10" s="128">
        <f>IF(ISNUMBER(BC10/BA10),BC10/BA10, " - ")</f>
        <v>0.73076923076923073</v>
      </c>
      <c r="BG10" s="200">
        <f>IF(ISNUMBER((AY10+AZ10)/BA10),(AY10+AZ10)/BA10," - ")</f>
        <v>2.4230769230769229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9895</v>
      </c>
      <c r="J13" s="188">
        <f t="shared" si="6"/>
        <v>3583</v>
      </c>
      <c r="K13" s="188">
        <f t="shared" si="6"/>
        <v>2965</v>
      </c>
      <c r="L13" s="188">
        <f t="shared" si="6"/>
        <v>10513</v>
      </c>
      <c r="M13" s="188">
        <f t="shared" si="6"/>
        <v>981</v>
      </c>
      <c r="N13" s="188">
        <f t="shared" si="6"/>
        <v>1227</v>
      </c>
      <c r="O13" s="188">
        <f t="shared" si="6"/>
        <v>1174</v>
      </c>
      <c r="P13" s="188">
        <f t="shared" si="6"/>
        <v>646</v>
      </c>
      <c r="Q13" s="188">
        <f t="shared" si="6"/>
        <v>747</v>
      </c>
      <c r="R13" s="188">
        <f t="shared" si="6"/>
        <v>9472</v>
      </c>
      <c r="S13" s="188">
        <f t="shared" si="6"/>
        <v>7876</v>
      </c>
      <c r="T13" s="188">
        <f t="shared" si="6"/>
        <v>2711</v>
      </c>
      <c r="U13" s="188">
        <f t="shared" si="6"/>
        <v>2591</v>
      </c>
      <c r="V13" s="188">
        <f t="shared" si="6"/>
        <v>7996</v>
      </c>
      <c r="W13" s="188">
        <f t="shared" si="6"/>
        <v>1062</v>
      </c>
      <c r="X13" s="188">
        <f t="shared" si="6"/>
        <v>887</v>
      </c>
      <c r="Y13" s="188">
        <f t="shared" si="6"/>
        <v>183</v>
      </c>
      <c r="Z13" s="188">
        <f t="shared" si="6"/>
        <v>147</v>
      </c>
      <c r="AA13" s="188">
        <f t="shared" si="6"/>
        <v>164</v>
      </c>
      <c r="AB13" s="188">
        <f t="shared" si="6"/>
        <v>166</v>
      </c>
      <c r="AC13" s="188">
        <f t="shared" si="6"/>
        <v>0</v>
      </c>
      <c r="AD13" s="188">
        <f t="shared" si="6"/>
        <v>0</v>
      </c>
      <c r="AE13" s="188">
        <f t="shared" si="6"/>
        <v>0</v>
      </c>
      <c r="AF13" s="188">
        <f>SUBTOTAL(9,AF9:AF12)</f>
        <v>0</v>
      </c>
      <c r="AG13" s="188">
        <f t="shared" ref="AG13:AT13" si="7">SUBTOTAL(9,AG8:AG12)</f>
        <v>118</v>
      </c>
      <c r="AH13" s="188">
        <f t="shared" si="7"/>
        <v>170</v>
      </c>
      <c r="AI13" s="188">
        <f t="shared" si="7"/>
        <v>173</v>
      </c>
      <c r="AJ13" s="188">
        <f t="shared" si="7"/>
        <v>115</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7994</v>
      </c>
      <c r="AZ13" s="188">
        <f>SUBTOTAL(9,AZ8:AZ12)</f>
        <v>2881</v>
      </c>
      <c r="BA13" s="188">
        <f>SUBTOTAL(9,BA8:BA12)</f>
        <v>2764</v>
      </c>
      <c r="BB13" s="188">
        <f>SUBTOTAL(9,BB8:BB12)</f>
        <v>8111</v>
      </c>
      <c r="BC13" s="188">
        <f>SUBTOTAL(9,BC8:BC12)</f>
        <v>900</v>
      </c>
      <c r="BD13" s="209">
        <f>IF(ISNUMBER(BA13/AZ13),BA13/AZ13," - ")</f>
        <v>0.95938910100659491</v>
      </c>
      <c r="BE13" s="210">
        <f>IF(ISNUMBER(BB13/BA13),BB13/BA13, " - ")</f>
        <v>2.9345151953690305</v>
      </c>
      <c r="BF13" s="210">
        <f>IF(ISNUMBER(BC13/BA13),BC13/BA13, " - ")</f>
        <v>0.32561505065123009</v>
      </c>
      <c r="BG13" s="211">
        <f>IF(ISNUMBER((AY13+AZ13)/BA13),(AY13+AZ13)/BA13," - ")</f>
        <v>3.9345151953690305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2192</v>
      </c>
      <c r="J15" s="187">
        <v>3224</v>
      </c>
      <c r="K15" s="187">
        <v>3153</v>
      </c>
      <c r="L15" s="187">
        <v>2338</v>
      </c>
      <c r="M15" s="187">
        <v>345</v>
      </c>
      <c r="N15" s="187">
        <v>2178</v>
      </c>
      <c r="O15" s="185">
        <v>10</v>
      </c>
      <c r="P15" s="187">
        <v>119</v>
      </c>
      <c r="Q15" s="187">
        <v>162</v>
      </c>
      <c r="R15" s="187">
        <v>437</v>
      </c>
      <c r="S15" s="187">
        <v>1625</v>
      </c>
      <c r="T15" s="187">
        <v>2957</v>
      </c>
      <c r="U15" s="187">
        <v>2810</v>
      </c>
      <c r="V15" s="187">
        <v>1827</v>
      </c>
      <c r="W15" s="187">
        <v>386</v>
      </c>
      <c r="X15" s="193">
        <v>1909</v>
      </c>
      <c r="Y15" s="206">
        <v>0</v>
      </c>
      <c r="Z15" s="187">
        <v>0</v>
      </c>
      <c r="AA15" s="187">
        <v>0</v>
      </c>
      <c r="AB15" s="187">
        <v>0</v>
      </c>
      <c r="AC15" s="187">
        <v>0</v>
      </c>
      <c r="AD15" s="187">
        <v>3</v>
      </c>
      <c r="AE15" s="187">
        <v>3</v>
      </c>
      <c r="AF15" s="193">
        <v>0</v>
      </c>
      <c r="AG15" s="206">
        <v>0</v>
      </c>
      <c r="AH15" s="187">
        <v>0</v>
      </c>
      <c r="AI15" s="187">
        <v>0</v>
      </c>
      <c r="AJ15" s="207">
        <v>0</v>
      </c>
      <c r="AK15" s="186">
        <v>0</v>
      </c>
      <c r="AL15" s="187">
        <v>2</v>
      </c>
      <c r="AM15" s="187">
        <v>2</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1625</v>
      </c>
      <c r="AZ15" s="130">
        <f t="shared" si="9"/>
        <v>2957</v>
      </c>
      <c r="BA15" s="130">
        <f t="shared" si="9"/>
        <v>2810</v>
      </c>
      <c r="BB15" s="130">
        <f t="shared" si="9"/>
        <v>1827</v>
      </c>
      <c r="BC15" s="126">
        <f>IF(ISNUMBER(W15),W15," - ")</f>
        <v>386</v>
      </c>
      <c r="BD15" s="127">
        <f>IF(ISNUMBER(BA15/AZ15),BA15/AZ15," - ")</f>
        <v>0.95028745350016908</v>
      </c>
      <c r="BE15" s="128">
        <f>IF(ISNUMBER(BB15/BA15),BB15/BA15, " - ")</f>
        <v>0.6501779359430605</v>
      </c>
      <c r="BF15" s="128">
        <f>IF(ISNUMBER(BC15/BA15),BC15/BA15, " - ")</f>
        <v>0.13736654804270462</v>
      </c>
      <c r="BG15" s="200">
        <f t="shared" ref="BG15:BG16" si="10">IF(ISNUMBER((AY15+AZ15)/BA15),(AY15+AZ15)/BA15," - ")</f>
        <v>1.6306049822064057</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v>
      </c>
      <c r="J16" s="187">
        <v>0</v>
      </c>
      <c r="K16" s="187">
        <v>0</v>
      </c>
      <c r="L16" s="187">
        <v>10</v>
      </c>
      <c r="M16" s="187">
        <v>0</v>
      </c>
      <c r="N16" s="187">
        <v>0</v>
      </c>
      <c r="O16" s="185">
        <v>0</v>
      </c>
      <c r="P16" s="187">
        <v>0</v>
      </c>
      <c r="Q16" s="187">
        <v>0</v>
      </c>
      <c r="R16" s="187">
        <v>0</v>
      </c>
      <c r="S16" s="187">
        <v>10</v>
      </c>
      <c r="T16" s="187">
        <v>0</v>
      </c>
      <c r="U16" s="187">
        <v>0</v>
      </c>
      <c r="V16" s="187">
        <v>10</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10</v>
      </c>
      <c r="AZ16" s="128">
        <f t="shared" si="9"/>
        <v>0</v>
      </c>
      <c r="BA16" s="128">
        <f t="shared" si="9"/>
        <v>0</v>
      </c>
      <c r="BB16" s="128">
        <f t="shared" si="9"/>
        <v>10</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v>
      </c>
      <c r="J17" s="187">
        <v>0</v>
      </c>
      <c r="K17" s="187">
        <v>3</v>
      </c>
      <c r="L17" s="187">
        <v>42</v>
      </c>
      <c r="M17" s="187">
        <v>0</v>
      </c>
      <c r="N17" s="187">
        <v>1</v>
      </c>
      <c r="O17" s="187">
        <v>0</v>
      </c>
      <c r="P17" s="187">
        <v>0</v>
      </c>
      <c r="Q17" s="187">
        <v>4</v>
      </c>
      <c r="R17" s="187">
        <v>12</v>
      </c>
      <c r="S17" s="187">
        <v>55</v>
      </c>
      <c r="T17" s="187">
        <v>175</v>
      </c>
      <c r="U17" s="187">
        <v>175</v>
      </c>
      <c r="V17" s="187">
        <v>60</v>
      </c>
      <c r="W17" s="187">
        <v>51</v>
      </c>
      <c r="X17" s="193">
        <v>97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55</v>
      </c>
      <c r="AZ17" s="130">
        <f t="shared" si="14"/>
        <v>175</v>
      </c>
      <c r="BA17" s="130">
        <f t="shared" si="14"/>
        <v>175</v>
      </c>
      <c r="BB17" s="130">
        <f t="shared" si="14"/>
        <v>60</v>
      </c>
      <c r="BC17" s="126">
        <f>IF(ISNUMBER(W17),W17," - ")</f>
        <v>51</v>
      </c>
      <c r="BD17" s="127">
        <f>IF(ISNUMBER(BA17/AZ17),BA17/AZ17," - ")</f>
        <v>1</v>
      </c>
      <c r="BE17" s="128">
        <f>IF(ISNUMBER(BB17/BA17),BB17/BA17, " - ")</f>
        <v>0.34285714285714286</v>
      </c>
      <c r="BF17" s="128">
        <f>IF(ISNUMBER(BC17/BA17),BC17/BA17, " - ")</f>
        <v>0.29142857142857143</v>
      </c>
      <c r="BG17" s="200">
        <f>IF(ISNUMBER((AY17+AZ17)/BA17),(AY17+AZ17)/BA17," - ")</f>
        <v>1.3142857142857143</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2247</v>
      </c>
      <c r="J18" s="188">
        <f t="shared" si="15"/>
        <v>3224</v>
      </c>
      <c r="K18" s="188">
        <f t="shared" si="15"/>
        <v>3156</v>
      </c>
      <c r="L18" s="188">
        <f t="shared" si="15"/>
        <v>2390</v>
      </c>
      <c r="M18" s="188">
        <f t="shared" si="15"/>
        <v>345</v>
      </c>
      <c r="N18" s="188">
        <f t="shared" si="15"/>
        <v>2179</v>
      </c>
      <c r="O18" s="188">
        <f t="shared" si="15"/>
        <v>10</v>
      </c>
      <c r="P18" s="188">
        <f t="shared" si="15"/>
        <v>119</v>
      </c>
      <c r="Q18" s="188">
        <f t="shared" si="15"/>
        <v>166</v>
      </c>
      <c r="R18" s="188">
        <f t="shared" si="15"/>
        <v>449</v>
      </c>
      <c r="S18" s="188">
        <f t="shared" si="15"/>
        <v>1690</v>
      </c>
      <c r="T18" s="188">
        <f t="shared" si="15"/>
        <v>3132</v>
      </c>
      <c r="U18" s="188">
        <f t="shared" si="15"/>
        <v>2985</v>
      </c>
      <c r="V18" s="188">
        <f t="shared" si="15"/>
        <v>1897</v>
      </c>
      <c r="W18" s="188">
        <f t="shared" si="15"/>
        <v>437</v>
      </c>
      <c r="X18" s="188">
        <f t="shared" si="15"/>
        <v>2006</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1690</v>
      </c>
      <c r="AZ18" s="188">
        <f>SUBTOTAL(9,AZ14:AZ17)</f>
        <v>3132</v>
      </c>
      <c r="BA18" s="188">
        <f>SUBTOTAL(9,BA14:BA17)</f>
        <v>2985</v>
      </c>
      <c r="BB18" s="188">
        <f>SUBTOTAL(9,BB14:BB17)</f>
        <v>1897</v>
      </c>
      <c r="BC18" s="188">
        <f>SUBTOTAL(9,BC14:BC17)</f>
        <v>437</v>
      </c>
      <c r="BD18" s="209">
        <f>IF(ISNUMBER(BA18/AZ18),BA18/AZ18," - ")</f>
        <v>0.95306513409961691</v>
      </c>
      <c r="BE18" s="210">
        <f>IF(ISNUMBER(BB18/BA18),BB18/BA18, " - ")</f>
        <v>0.63551088777219433</v>
      </c>
      <c r="BF18" s="210">
        <f>IF(ISNUMBER(BC18/BA18),BC18/BA18, " - ")</f>
        <v>0.14639865996649917</v>
      </c>
      <c r="BG18" s="211">
        <f>IF(ISNUMBER((AY18+AZ18)/BA18),(AY18+AZ18)/BA18," - ")</f>
        <v>1.6154103852596315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12142</v>
      </c>
      <c r="J19" s="135">
        <f t="shared" si="18"/>
        <v>6807</v>
      </c>
      <c r="K19" s="135">
        <f t="shared" si="18"/>
        <v>6121</v>
      </c>
      <c r="L19" s="135">
        <f t="shared" si="18"/>
        <v>12903</v>
      </c>
      <c r="M19" s="135">
        <f t="shared" si="18"/>
        <v>1326</v>
      </c>
      <c r="N19" s="135">
        <f t="shared" si="18"/>
        <v>3406</v>
      </c>
      <c r="O19" s="135">
        <f t="shared" si="18"/>
        <v>1184</v>
      </c>
      <c r="P19" s="135">
        <f t="shared" si="18"/>
        <v>765</v>
      </c>
      <c r="Q19" s="135">
        <f t="shared" si="18"/>
        <v>913</v>
      </c>
      <c r="R19" s="135">
        <f t="shared" si="18"/>
        <v>9921</v>
      </c>
      <c r="S19" s="135">
        <f t="shared" si="18"/>
        <v>9566</v>
      </c>
      <c r="T19" s="135">
        <f t="shared" si="18"/>
        <v>5843</v>
      </c>
      <c r="U19" s="135">
        <f t="shared" si="18"/>
        <v>5576</v>
      </c>
      <c r="V19" s="135">
        <f t="shared" si="18"/>
        <v>9893</v>
      </c>
      <c r="W19" s="135">
        <f t="shared" si="18"/>
        <v>1499</v>
      </c>
      <c r="X19" s="135">
        <f t="shared" si="18"/>
        <v>2893</v>
      </c>
      <c r="Y19" s="135">
        <f t="shared" si="18"/>
        <v>183</v>
      </c>
      <c r="Z19" s="135">
        <f t="shared" si="18"/>
        <v>147</v>
      </c>
      <c r="AA19" s="135">
        <f t="shared" si="18"/>
        <v>164</v>
      </c>
      <c r="AB19" s="135">
        <f t="shared" si="18"/>
        <v>166</v>
      </c>
      <c r="AC19" s="135">
        <f t="shared" si="18"/>
        <v>0</v>
      </c>
      <c r="AD19" s="135">
        <f t="shared" si="18"/>
        <v>3</v>
      </c>
      <c r="AE19" s="135">
        <f t="shared" si="18"/>
        <v>3</v>
      </c>
      <c r="AF19" s="135">
        <f t="shared" si="18"/>
        <v>0</v>
      </c>
      <c r="AG19" s="135">
        <f t="shared" si="18"/>
        <v>118</v>
      </c>
      <c r="AH19" s="135">
        <f t="shared" si="18"/>
        <v>170</v>
      </c>
      <c r="AI19" s="135">
        <f t="shared" si="18"/>
        <v>173</v>
      </c>
      <c r="AJ19" s="135">
        <f t="shared" si="18"/>
        <v>115</v>
      </c>
      <c r="AK19" s="135">
        <f t="shared" si="18"/>
        <v>0</v>
      </c>
      <c r="AL19" s="135">
        <f t="shared" si="18"/>
        <v>2</v>
      </c>
      <c r="AM19" s="135">
        <f t="shared" si="18"/>
        <v>2</v>
      </c>
      <c r="AN19" s="214">
        <f t="shared" si="18"/>
        <v>0</v>
      </c>
      <c r="AO19" s="215">
        <v>12</v>
      </c>
      <c r="AP19" s="215">
        <v>11</v>
      </c>
      <c r="AQ19" s="215">
        <v>11</v>
      </c>
      <c r="AR19" s="215">
        <v>11</v>
      </c>
      <c r="AS19" s="157">
        <f t="shared" si="18"/>
        <v>0</v>
      </c>
      <c r="AT19" s="157">
        <f t="shared" si="18"/>
        <v>0</v>
      </c>
      <c r="AU19" s="215"/>
      <c r="AV19" s="216"/>
      <c r="AW19" s="215"/>
      <c r="AX19" s="216"/>
      <c r="AY19" s="134">
        <f>SUBTOTAL(9,AY9:AY18)</f>
        <v>9684</v>
      </c>
      <c r="AZ19" s="135">
        <f>SUBTOTAL(9,AZ9:AZ18)</f>
        <v>6013</v>
      </c>
      <c r="BA19" s="135">
        <f>SUBTOTAL(9,BA9:BA18)</f>
        <v>5749</v>
      </c>
      <c r="BB19" s="135">
        <f>SUBTOTAL(9,BB9:BB18)</f>
        <v>10008</v>
      </c>
      <c r="BC19" s="136">
        <f>SUBTOTAL(9,BC9:BC18)</f>
        <v>1337</v>
      </c>
      <c r="BD19" s="217">
        <f>IF(ISNUMBER(BA19/AZ19),BA19/AZ19," - ")</f>
        <v>0.9560951272243472</v>
      </c>
      <c r="BE19" s="214">
        <f>IF(ISNUMBER(BB19/BA19),BB19/BA19, " - ")</f>
        <v>1.7408244912158637</v>
      </c>
      <c r="BF19" s="214">
        <f>IF(ISNUMBER(BC19/BA19),BC19/BA19, " - ")</f>
        <v>0.23256218472777873</v>
      </c>
      <c r="BG19" s="136">
        <f>IF(ISNUMBER((AY19+AZ19)/BA19),(AY19+AZ19)/BA19," - ")</f>
        <v>2.7303878935467036</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bixbeVVqL1KyVYhOQ/aF1J2zys9Gr+9+jAKnll3rsEwKKopRZ6EqRwmQyMikUt/iIA/OEoCcA6KYsFJnC7vAQ==" saltValue="3mwDtCFnLRZR+hihc9938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EokdQ2/fPxiyC+FGwW6grM+lqPPGPb3pUR1A5OVpwkOP/euUr7sVGdE4BmkAEs2QvAlZ1C7ZH5i8s7B6N0+8Q==" saltValue="GZmR6NeFFvWW+TPIdp9S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 CRISTOBAL DE LA LAGUNA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147</v>
      </c>
      <c r="O9" s="503"/>
      <c r="P9" s="503"/>
      <c r="Q9" s="501">
        <f>IF(ISNUMBER(Datos!P9),Datos!P9,0)</f>
        <v>642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747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166</v>
      </c>
      <c r="AI9" s="503" t="str">
        <f>IF(ISNUMBER(Datos!CD9),Datos!CD9,"-")</f>
        <v>-</v>
      </c>
      <c r="AJ9" s="503" t="str">
        <f>IF(ISNUMBER(Datos!EN9),Datos!EN9," - ")</f>
        <v xml:space="preserve"> - </v>
      </c>
      <c r="AK9" s="503"/>
      <c r="AL9" s="504"/>
      <c r="AM9" s="671">
        <f>IF(ISNUMBER(Datos!R9),Datos!R9," - ")</f>
        <v>9403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979</v>
      </c>
      <c r="BD9" s="619">
        <f>IF(ISNUMBER(Datos!N9),Datos!N9," - ")</f>
        <v>1219</v>
      </c>
      <c r="BE9" s="619" t="str">
        <f>IF(ISNUMBER(Datos!BW9),Datos!BW9," - ")</f>
        <v xml:space="preserve"> - </v>
      </c>
      <c r="BF9" s="667" t="str">
        <f>IF(ISNUMBER(Datos!BX9),Datos!BX9," - ")</f>
        <v xml:space="preserve"> - </v>
      </c>
      <c r="BG9" s="668">
        <f>IF(ISNUMBER(IF(J_V="SI",Datos!K9/Datos!J9,(Datos!K9+Datos!AA9)/(Datos!J9+Datos!Z9))),IF(J_V="SI",Datos!K9/Datos!J9,(Datos!K9+Datos!AA9)/(Datos!J9+Datos!Z9))," - ")</f>
        <v>0.83799032778076299</v>
      </c>
      <c r="BH9" s="669">
        <f>IF(ISNUMBER(((IF(J_V="SI",Datos!L9/Datos!K9,(Datos!L9+Datos!AB9)/(Datos!K9+Datos!AA9)))*11)/factor_trimestre),((IF(J_V="SI",Datos!L9/Datos!K9,(Datos!L9+Datos!AB9)/(Datos!K9+Datos!AA9)))*11)/factor_trimestre," - ")</f>
        <v>6.8380891311317731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-1.1043331931005469E-2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15</v>
      </c>
      <c r="AG10" s="503"/>
      <c r="AH10" s="503"/>
      <c r="AI10" s="503"/>
      <c r="AJ10" s="503"/>
      <c r="AK10" s="503"/>
      <c r="AL10" s="504"/>
      <c r="AM10" s="671">
        <f>IF(ISNUMBER(Datos!R10),Datos!R10," - ")</f>
        <v>69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8</v>
      </c>
      <c r="BE10" s="619" t="str">
        <f>IF(ISNUMBER(Datos!BW10),Datos!BW10," - ")</f>
        <v xml:space="preserve"> - </v>
      </c>
      <c r="BF10" s="667" t="str">
        <f>IF(ISNUMBER(Datos!BX10),Datos!BX10," - ")</f>
        <v xml:space="preserve"> - </v>
      </c>
      <c r="BG10" s="668">
        <f>IF(ISNUMBER(Datos!K10/Datos!J10),Datos!K10/Datos!J10," - ")</f>
        <v>1.25</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6.1538461538461542E-2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147</v>
      </c>
      <c r="O13" s="1046">
        <f t="shared" si="0"/>
        <v>0</v>
      </c>
      <c r="P13" s="1046">
        <f t="shared" si="0"/>
        <v>0</v>
      </c>
      <c r="Q13" s="1045">
        <f t="shared" si="0"/>
        <v>646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747</v>
      </c>
      <c r="AD13" s="1045">
        <f t="shared" si="1"/>
        <v>0</v>
      </c>
      <c r="AE13" s="1045">
        <f t="shared" si="1"/>
        <v>0</v>
      </c>
      <c r="AF13" s="1045">
        <f t="shared" si="1"/>
        <v>15</v>
      </c>
      <c r="AG13" s="1045">
        <f t="shared" si="1"/>
        <v>0</v>
      </c>
      <c r="AH13" s="1045">
        <f t="shared" si="1"/>
        <v>166</v>
      </c>
      <c r="AI13" s="1045">
        <f t="shared" si="1"/>
        <v>0</v>
      </c>
      <c r="AJ13" s="1045">
        <f t="shared" si="1"/>
        <v>0</v>
      </c>
      <c r="AK13" s="1045">
        <f t="shared" si="1"/>
        <v>0</v>
      </c>
      <c r="AL13" s="1045">
        <f t="shared" si="1"/>
        <v>0</v>
      </c>
      <c r="AM13" s="1045">
        <f t="shared" si="1"/>
        <v>9472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981</v>
      </c>
      <c r="BD13" s="1045">
        <f t="shared" si="1"/>
        <v>1227</v>
      </c>
      <c r="BE13" s="1045">
        <f t="shared" si="1"/>
        <v>0</v>
      </c>
      <c r="BF13" s="1045">
        <f t="shared" si="1"/>
        <v>0</v>
      </c>
      <c r="BG13" s="1045">
        <f>IF(ISNUMBER(Datos!K13/Datos!J13),Datos!K13/Datos!J13," - ")</f>
        <v>0.82751883896176393</v>
      </c>
      <c r="BH13" s="1049">
        <f>IF(ISNUMBER(((Datos!L13/Datos!K13)*11)/factor_trimestre),((Datos!L13/Datos!K13)*11)/factor_trimestre," - ")</f>
        <v>7.0913996627318729</v>
      </c>
      <c r="BI13" s="1045">
        <f>IF(ISNUMBER('Resol  Asuntos'!D13/NºAsuntos!G13),'Resol  Asuntos'!D13/NºAsuntos!G13," - ")</f>
        <v>0.31351869606903165</v>
      </c>
      <c r="BJ13" s="1045" t="str">
        <f>IF(ISNUMBER(Datos!CI13/Datos!CJ13),Datos!CI13/Datos!CJ13," - ")</f>
        <v xml:space="preserve"> - </v>
      </c>
      <c r="BK13" s="1045">
        <f>SUBTOTAL(9,BK8:BK12)</f>
        <v>0</v>
      </c>
      <c r="BL13" s="1045">
        <f>IF(ISNUMBER((I13-AB13+L13)/(F13)),(I13-AB13+L13)/(F13)," - ")</f>
        <v>-0.58823529411764708</v>
      </c>
      <c r="BM13" s="1050">
        <f>SUBTOTAL(9,BM9:BM12)</f>
        <v>5.0495129607456071E-2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2267</v>
      </c>
      <c r="G15" s="650">
        <f>IF(ISNUMBER(IF(D_I="SI",Datos!I15,Datos!I15+Datos!AC15)),IF(D_I="SI",Datos!I15,Datos!I15+Datos!AC15)," - ")</f>
        <v>2192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3153</v>
      </c>
      <c r="AC15" s="230">
        <f>IF(ISNUMBER(Datos!Q15),Datos!Q15," - ")</f>
        <v>162</v>
      </c>
      <c r="AD15" s="343"/>
      <c r="AE15" s="515"/>
      <c r="AF15" s="648">
        <f>IF(ISNUMBER(IF(D_I="SI",Datos!L15,Datos!L15+Datos!AF15)),IF(D_I="SI",Datos!L15,Datos!L15+Datos!AF15)," - ")</f>
        <v>2338</v>
      </c>
      <c r="AG15" s="343"/>
      <c r="AH15" s="343"/>
      <c r="AI15" s="343"/>
      <c r="AJ15" s="503"/>
      <c r="AK15" s="343"/>
      <c r="AL15" s="499"/>
      <c r="AM15" s="344">
        <f>IF(ISNUMBER(Datos!R15),Datos!R15," - ")</f>
        <v>437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345</v>
      </c>
      <c r="BD15" s="233">
        <f>IF(ISNUMBER(Datos!N15),Datos!N15," - ")</f>
        <v>2178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0.97797766749379655</v>
      </c>
      <c r="BH15" s="669">
        <f>IF(ISNUMBER(((IF(D_I="SI",Datos!L15/Datos!K15,(Datos!L15+Datos!AF15)/(Datos!K15+Datos!AE15)))*11)/factor_trimestre),((IF(D_I="SI",Datos!L15/Datos!K15,(Datos!L15+Datos!AF15)/(Datos!K15+Datos!AE15)))*11)/factor_trimestre," - ")</f>
        <v>1.4830320329844591</v>
      </c>
      <c r="BI15" s="247">
        <f>IF(ISNUMBER('Resol  Asuntos'!D15/NºAsuntos!G15),'Resol  Asuntos'!D15/NºAsuntos!G15," - ")</f>
        <v>0.10941960038058991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10</v>
      </c>
      <c r="G16" s="650">
        <f>IF(ISNUMBER(IF(D_I="SI",Datos!I16,Datos!I16+Datos!AC16)),IF(D_I="SI",Datos!I16,Datos!I16+Datos!AC16)," - ")</f>
        <v>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10</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4</v>
      </c>
      <c r="AD17" s="503"/>
      <c r="AE17" s="515"/>
      <c r="AF17" s="505">
        <f>IF(ISNUMBER(Datos!L17),Datos!L17,"-")</f>
        <v>42</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28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2277</v>
      </c>
      <c r="G18" s="1044">
        <f>SUBTOTAL(9,G15:G17)</f>
        <v>2247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3156</v>
      </c>
      <c r="AC18" s="1045">
        <f t="shared" si="4"/>
        <v>166</v>
      </c>
      <c r="AD18" s="1045">
        <f t="shared" si="4"/>
        <v>0</v>
      </c>
      <c r="AE18" s="1045">
        <f t="shared" si="4"/>
        <v>0</v>
      </c>
      <c r="AF18" s="1045">
        <f t="shared" si="4"/>
        <v>2390</v>
      </c>
      <c r="AG18" s="1045">
        <f t="shared" si="4"/>
        <v>0</v>
      </c>
      <c r="AH18" s="1045">
        <f t="shared" si="4"/>
        <v>0</v>
      </c>
      <c r="AI18" s="1045">
        <f t="shared" si="4"/>
        <v>0</v>
      </c>
      <c r="AJ18" s="1045">
        <f t="shared" si="4"/>
        <v>0</v>
      </c>
      <c r="AK18" s="1045">
        <f t="shared" si="4"/>
        <v>0</v>
      </c>
      <c r="AL18" s="1045">
        <f t="shared" si="4"/>
        <v>0</v>
      </c>
      <c r="AM18" s="1045">
        <f t="shared" si="4"/>
        <v>449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345</v>
      </c>
      <c r="BD18" s="1045">
        <f t="shared" si="4"/>
        <v>2179</v>
      </c>
      <c r="BE18" s="1045">
        <f t="shared" si="4"/>
        <v>0</v>
      </c>
      <c r="BF18" s="1045">
        <f t="shared" si="4"/>
        <v>0</v>
      </c>
      <c r="BG18" s="1045">
        <f>IF(ISNUMBER(Datos!K18/Datos!J18),Datos!K18/Datos!J18," - ")</f>
        <v>0.97890818858560791</v>
      </c>
      <c r="BH18" s="1049">
        <f>IF(ISNUMBER(((Datos!L18/Datos!K18)*11)/factor_trimestre),((Datos!L18/Datos!K18)*11)/factor_trimestre," - ")</f>
        <v>1.5145754119138148</v>
      </c>
      <c r="BI18" s="1045">
        <f>SUBTOTAL(9,BI15:BI17)</f>
        <v>0.10941960038058991</v>
      </c>
      <c r="BJ18" s="1045">
        <f>SUBTOTAL(9,BJ15:BJ17)</f>
        <v>0</v>
      </c>
      <c r="BK18" s="1045">
        <f>SUBTOTAL(9,BK15:BK17)</f>
        <v>0</v>
      </c>
      <c r="BL18" s="1045">
        <f>IF(ISNUMBER((I18-AB18+L18)/(F18)),(I18-AB18+L18)/(F18)," - ")</f>
        <v>-1.3860342555994729</v>
      </c>
      <c r="BM18" s="1051">
        <f>IF(ISNUMBER((Datos!P18-Datos!Q18)/(Datos!R18-Datos!P18+Datos!Q18)),(Datos!P18-Datos!Q18)/(Datos!R18-Datos!P18+Datos!Q18)," - ")</f>
        <v>-9.4758064516129031E-2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2294</v>
      </c>
      <c r="G19" s="966">
        <f t="shared" si="6"/>
        <v>2264</v>
      </c>
      <c r="H19" s="968">
        <f t="shared" si="6"/>
        <v>0</v>
      </c>
      <c r="I19" s="966">
        <f t="shared" si="6"/>
        <v>0</v>
      </c>
      <c r="J19" s="968">
        <f t="shared" si="6"/>
        <v>0</v>
      </c>
      <c r="K19" s="968">
        <f t="shared" si="6"/>
        <v>0</v>
      </c>
      <c r="L19" s="1027">
        <f t="shared" si="6"/>
        <v>0</v>
      </c>
      <c r="M19" s="1027">
        <f t="shared" si="6"/>
        <v>0</v>
      </c>
      <c r="N19" s="1027">
        <f t="shared" si="6"/>
        <v>147</v>
      </c>
      <c r="O19" s="1027">
        <f t="shared" si="6"/>
        <v>0</v>
      </c>
      <c r="P19" s="1027">
        <f t="shared" si="6"/>
        <v>0</v>
      </c>
      <c r="Q19" s="968">
        <f t="shared" si="6"/>
        <v>765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3166</v>
      </c>
      <c r="AC19" s="967">
        <f t="shared" si="7"/>
        <v>913</v>
      </c>
      <c r="AD19" s="967">
        <f t="shared" si="7"/>
        <v>0</v>
      </c>
      <c r="AE19" s="967">
        <f t="shared" si="7"/>
        <v>0</v>
      </c>
      <c r="AF19" s="974">
        <f t="shared" si="7"/>
        <v>2405</v>
      </c>
      <c r="AG19" s="974">
        <f t="shared" si="7"/>
        <v>0</v>
      </c>
      <c r="AH19" s="974">
        <f t="shared" si="7"/>
        <v>166</v>
      </c>
      <c r="AI19" s="974">
        <f t="shared" si="7"/>
        <v>0</v>
      </c>
      <c r="AJ19" s="967">
        <f t="shared" si="7"/>
        <v>0</v>
      </c>
      <c r="AK19" s="974">
        <f t="shared" si="7"/>
        <v>0</v>
      </c>
      <c r="AL19" s="974">
        <f t="shared" si="7"/>
        <v>0</v>
      </c>
      <c r="AM19" s="974">
        <f t="shared" si="7"/>
        <v>9921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1326</v>
      </c>
      <c r="BD19" s="966">
        <f t="shared" si="7"/>
        <v>3406</v>
      </c>
      <c r="BE19" s="966">
        <f t="shared" si="7"/>
        <v>0</v>
      </c>
      <c r="BF19" s="976">
        <f t="shared" si="7"/>
        <v>0</v>
      </c>
      <c r="BG19" s="1061">
        <f>IF(ISNUMBER(Datos!K19/Datos!J19),Datos!K19/Datos!J19," - ")</f>
        <v>0.89922138974584986</v>
      </c>
      <c r="BH19" s="1061">
        <f>IF(ISNUMBER(((Datos!L19/Datos!K19)*11)/factor_trimestre),((Datos!L19/Datos!K19)*11)/factor_trimestre," - ")</f>
        <v>4.2159777814082666</v>
      </c>
      <c r="BI19" s="959">
        <f>IF(ISNUMBER(Datos!J19/Datos!I19),Datos!J19/Datos!I19," - ")</f>
        <v>0.56061604348542249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-1.3801220575414124</v>
      </c>
      <c r="BM19" s="1035">
        <f>IF(ISNUMBER((Datos!P19-Datos!Q19+R19)/(Datos!R19-Datos!P19+Datos!Q19-R19)),(Datos!P19-Datos!Q19+R19)/(Datos!R19-Datos!P19+Datos!Q19-R19)," - ")</f>
        <v>-1.4698579799384248E-2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754.66666666666663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3.0867098629086893</v>
      </c>
      <c r="F21" s="599">
        <f>IF(ISNUMBER(STDEV(F8:F18)),STDEV(F8:F18),"-")</f>
        <v>1236.4007440955379</v>
      </c>
      <c r="G21" s="600">
        <f>IF(ISNUMBER(STDEV(G8:G18)),STDEV(G8:G18),"-")</f>
        <v>1134.8520020983647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1626.0125050769648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438.58234824315059</v>
      </c>
      <c r="BD21" s="599"/>
      <c r="BE21" s="599">
        <f>IF(ISNUMBER(STDEV(BE8:BE18)),STDEV(BE8:BE18),"-")</f>
        <v>0</v>
      </c>
      <c r="BF21" s="604">
        <f>IF(ISNUMBER(STDEV(BF8:BF18)),STDEV(BF8:BF18),"-")</f>
        <v>0</v>
      </c>
      <c r="BG21" s="914">
        <f>IF(ISNUMBER(STDEV(BG8:BG18)),STDEV(BG8:BG18),"-")</f>
        <v>0.17041869498628381</v>
      </c>
      <c r="BH21" s="918">
        <f>IF(ISNUMBER(STDEV(BH8:BH18)),STDEV(BH8:BH18),"-")</f>
        <v>10.116385809018327</v>
      </c>
      <c r="BI21" s="253">
        <f>IF(ISNUMBER(STDEV(BI8:BI18)),STDEV(BI8:BI18),"-")</f>
        <v>0.13087912756986925</v>
      </c>
      <c r="BJ21" s="234" t="str">
        <f>IF(ISNUMBER(BL21/BM21),BL21/BM21," - ")</f>
        <v xml:space="preserve"> - </v>
      </c>
      <c r="BK21" s="626"/>
      <c r="BL21" s="607">
        <f>IF(ISNUMBER(STDEV(BL8:BL18)),STDEV(BL8:BL18),"-")</f>
        <v>0.56412905568738425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0P9XQTgTjW0bdy3EZ1kcVZyiSqeiiXe05+WMXoFsIekWqgIEnM9EIKawKrml94YS2Vn53P9CYUnB2T1Qucwew==" saltValue="R7iG+6A7zf9+NhWi3X2n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 CRISTOBAL DE LA LAGUNA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642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747</v>
      </c>
      <c r="AA9" s="505" t="str">
        <f>IF(ISNUMBER(IF(J_V="SI",Datos!L9,Datos!L9+Datos!AB9)-IF(Monitorios="SI",Datos!CD9,0)),
                          IF(J_V="SI",Datos!L9,Datos!L9+Datos!AB9)-IF(Monitorios="SI",Datos!CD9,0),
                          " - ")</f>
        <v xml:space="preserve"> - </v>
      </c>
      <c r="AB9" s="503"/>
      <c r="AC9" s="503"/>
      <c r="AD9" s="516"/>
      <c r="AE9" s="516">
        <f>IF(ISNUMBER(Datos!R9),Datos!R9," - ")</f>
        <v>9403</v>
      </c>
      <c r="AF9" s="619" t="str">
        <f>IF(ISNUMBER(Datos!BV9),Datos!BV9," - ")</f>
        <v xml:space="preserve"> - </v>
      </c>
      <c r="AG9" s="506" t="str">
        <f>IF(ISNUMBER(Datos!DV9),Datos!DV9," - ")</f>
        <v xml:space="preserve"> - </v>
      </c>
      <c r="AH9" s="507"/>
      <c r="AI9" s="508"/>
      <c r="AJ9" s="506">
        <f>IF(ISNUMBER(Datos!M9),Datos!M9," - ")</f>
        <v>979</v>
      </c>
      <c r="AK9" s="619">
        <f>IF(ISNUMBER(Datos!N9),Datos!N9," - ")</f>
        <v>1219</v>
      </c>
      <c r="AL9" s="619" t="str">
        <f>IF(ISNUMBER(Datos!BW9),Datos!BW9," - ")</f>
        <v xml:space="preserve"> - </v>
      </c>
      <c r="AM9" s="667" t="str">
        <f>IF(ISNUMBER(Datos!BX9),Datos!BX9," - ")</f>
        <v xml:space="preserve"> - </v>
      </c>
      <c r="AN9" s="668"/>
      <c r="AO9" s="669">
        <f>IF(ISNUMBER(((NºAsuntos!I9/NºAsuntos!G9)*11)/factor_trimestre),((NºAsuntos!I9/NºAsuntos!G9)*11)/factor_trimestre," - ")</f>
        <v>6.8380891311317731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-1.1043331931005469E-2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15</v>
      </c>
      <c r="AB10" s="503"/>
      <c r="AC10" s="503"/>
      <c r="AD10" s="516"/>
      <c r="AE10" s="516">
        <f>IF(ISNUMBER(Datos!R10),Datos!R10," - ")</f>
        <v>69</v>
      </c>
      <c r="AF10" s="619" t="str">
        <f>IF(ISNUMBER(Datos!BV10),Datos!BV10," - ")</f>
        <v xml:space="preserve"> - </v>
      </c>
      <c r="AG10" s="506" t="str">
        <f>IF(ISNUMBER(Datos!DV10),Datos!DV10," - ")</f>
        <v xml:space="preserve"> - </v>
      </c>
      <c r="AH10" s="507"/>
      <c r="AI10" s="508"/>
      <c r="AJ10" s="506">
        <f>IF(ISNUMBER(Datos!M10),Datos!M10," - ")</f>
        <v>2</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6.1538461538461542E-2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646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747</v>
      </c>
      <c r="AA13" s="1046">
        <f t="shared" si="2"/>
        <v>15</v>
      </c>
      <c r="AB13" s="1046">
        <f t="shared" si="2"/>
        <v>0</v>
      </c>
      <c r="AC13" s="1046">
        <f t="shared" si="2"/>
        <v>0</v>
      </c>
      <c r="AD13" s="1046">
        <f t="shared" si="2"/>
        <v>0</v>
      </c>
      <c r="AE13" s="1046">
        <f t="shared" si="2"/>
        <v>9472</v>
      </c>
      <c r="AF13" s="1054">
        <f t="shared" si="2"/>
        <v>0</v>
      </c>
      <c r="AG13" s="1054">
        <f t="shared" si="2"/>
        <v>0</v>
      </c>
      <c r="AH13" s="1054">
        <f t="shared" si="2"/>
        <v>0</v>
      </c>
      <c r="AI13" s="1054">
        <f t="shared" si="2"/>
        <v>0</v>
      </c>
      <c r="AJ13" s="1054">
        <f t="shared" si="2"/>
        <v>981</v>
      </c>
      <c r="AK13" s="1054">
        <f t="shared" si="2"/>
        <v>1227</v>
      </c>
      <c r="AL13" s="1054">
        <f t="shared" si="2"/>
        <v>0</v>
      </c>
      <c r="AM13" s="1054">
        <f t="shared" si="2"/>
        <v>0</v>
      </c>
      <c r="AN13" s="1054">
        <f t="shared" si="2"/>
        <v>0</v>
      </c>
      <c r="AO13" s="1050">
        <f>IF(ISNUMBER(((NºAsuntos!I13/NºAsuntos!G13)*11)/factor_trimestre),((NºAsuntos!I13/NºAsuntos!G13)*11)/factor_trimestre," - ")</f>
        <v>6.8258229466283158</v>
      </c>
      <c r="AP13" s="1056" t="str">
        <f>IF(ISNUMBER(Datos!CI13/Datos!CJ13),Datos!CI13/Datos!CJ13," - ")</f>
        <v xml:space="preserve"> - </v>
      </c>
      <c r="AQ13" s="1074">
        <f t="shared" ref="AQ13:AV13" si="3">SUBTOTAL(9,AQ9:AQ12)</f>
        <v>0</v>
      </c>
      <c r="AR13" s="1074">
        <f t="shared" si="3"/>
        <v>5.0495129607456071E-2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2267</v>
      </c>
      <c r="G15" s="506">
        <f>IF(ISNUMBER(IF(D_I="SI",Datos!I15,Datos!I15+Datos!AC15)),IF(D_I="SI",Datos!I15,Datos!I15+Datos!AC15)," - ")</f>
        <v>2192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3153</v>
      </c>
      <c r="Z15" s="703">
        <f>IF(ISNUMBER(Datos!Q15),Datos!Q15," - ")</f>
        <v>162</v>
      </c>
      <c r="AA15" s="505">
        <f>IF(ISNUMBER(IF(D_I="SI",Datos!L15,Datos!L15+Datos!AF15)),IF(D_I="SI",Datos!L15,Datos!L15+Datos!AF15)," - ")</f>
        <v>2338</v>
      </c>
      <c r="AB15" s="503"/>
      <c r="AC15" s="503"/>
      <c r="AD15" s="516"/>
      <c r="AE15" s="516">
        <f>IF(ISNUMBER(Datos!R15),Datos!R15," - ")</f>
        <v>437</v>
      </c>
      <c r="AF15" s="619" t="str">
        <f>IF(ISNUMBER(Datos!BV15),Datos!BV15," - ")</f>
        <v xml:space="preserve"> - </v>
      </c>
      <c r="AG15" s="506"/>
      <c r="AH15" s="507"/>
      <c r="AI15" s="508"/>
      <c r="AJ15" s="506">
        <f>IF(ISNUMBER(Datos!M15),Datos!M15," - ")</f>
        <v>345</v>
      </c>
      <c r="AK15" s="619">
        <f>IF(ISNUMBER(Datos!N15),Datos!N15," - ")</f>
        <v>2178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1.4830320329844591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10</v>
      </c>
      <c r="G16" s="506">
        <f>IF(ISNUMBER(IF(D_I="SI",Datos!I16,Datos!I16+Datos!AC16)),IF(D_I="SI",Datos!I16,Datos!I16+Datos!AC16)," - ")</f>
        <v>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10</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4</v>
      </c>
      <c r="AA17" s="505">
        <f>IF(ISNUMBER(Datos!L17),Datos!L17,"-")</f>
        <v>42</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2277</v>
      </c>
      <c r="G18" s="1044">
        <f>SUBTOTAL(9,G15:G17)</f>
        <v>2247</v>
      </c>
      <c r="H18" s="1078">
        <f>SUBTOTAL(9,H15:H17)</f>
        <v>0</v>
      </c>
      <c r="I18" s="1057">
        <f>SUBTOTAL(9,I15:I17)</f>
        <v>0</v>
      </c>
      <c r="J18" s="1013">
        <f>SUBTOTAL(9,J14:J17)</f>
        <v>0</v>
      </c>
      <c r="K18" s="1078">
        <f t="shared" ref="K18:S18" si="4">SUBTOTAL(9,K15:K17)</f>
        <v>0</v>
      </c>
      <c r="L18" s="1078">
        <f t="shared" si="4"/>
        <v>0</v>
      </c>
      <c r="M18" s="1078">
        <f t="shared" si="4"/>
        <v>0</v>
      </c>
      <c r="N18" s="1078">
        <f t="shared" si="4"/>
        <v>119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3156</v>
      </c>
      <c r="Z18" s="1078">
        <f t="shared" si="5"/>
        <v>166</v>
      </c>
      <c r="AA18" s="1078">
        <f t="shared" si="5"/>
        <v>2390</v>
      </c>
      <c r="AB18" s="1078">
        <f t="shared" si="5"/>
        <v>0</v>
      </c>
      <c r="AC18" s="1078">
        <f t="shared" si="5"/>
        <v>0</v>
      </c>
      <c r="AD18" s="1078">
        <f t="shared" si="5"/>
        <v>0</v>
      </c>
      <c r="AE18" s="1078">
        <f t="shared" si="5"/>
        <v>449</v>
      </c>
      <c r="AF18" s="1078">
        <f t="shared" si="5"/>
        <v>0</v>
      </c>
      <c r="AG18" s="1078">
        <f t="shared" si="5"/>
        <v>0</v>
      </c>
      <c r="AH18" s="1078">
        <f t="shared" si="5"/>
        <v>0</v>
      </c>
      <c r="AI18" s="1078">
        <f t="shared" si="5"/>
        <v>0</v>
      </c>
      <c r="AJ18" s="1078">
        <f t="shared" si="5"/>
        <v>345</v>
      </c>
      <c r="AK18" s="1078">
        <f t="shared" si="5"/>
        <v>2179</v>
      </c>
      <c r="AL18" s="1078">
        <f t="shared" si="5"/>
        <v>0</v>
      </c>
      <c r="AM18" s="1078">
        <f t="shared" si="5"/>
        <v>0</v>
      </c>
      <c r="AN18" s="1078">
        <f t="shared" si="5"/>
        <v>0</v>
      </c>
      <c r="AO18" s="1080">
        <f>IF(ISNUMBER(((NºAsuntos!I18/NºAsuntos!G18)*11)/factor_trimestre),((NºAsuntos!I18/NºAsuntos!G18)*11)/factor_trimestre," - ")</f>
        <v>1.5145754119138148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2294</v>
      </c>
      <c r="G19" s="966">
        <f t="shared" si="7"/>
        <v>2264</v>
      </c>
      <c r="H19" s="967">
        <f t="shared" si="7"/>
        <v>0</v>
      </c>
      <c r="I19" s="966">
        <f t="shared" si="7"/>
        <v>0</v>
      </c>
      <c r="J19" s="968">
        <f t="shared" si="7"/>
        <v>0</v>
      </c>
      <c r="K19" s="966">
        <f t="shared" si="7"/>
        <v>0</v>
      </c>
      <c r="L19" s="969">
        <f t="shared" si="7"/>
        <v>0</v>
      </c>
      <c r="M19" s="966">
        <f t="shared" si="7"/>
        <v>0</v>
      </c>
      <c r="N19" s="967">
        <f t="shared" si="7"/>
        <v>765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3166</v>
      </c>
      <c r="Z19" s="973">
        <f t="shared" si="8"/>
        <v>913</v>
      </c>
      <c r="AA19" s="974">
        <f t="shared" si="8"/>
        <v>2405</v>
      </c>
      <c r="AB19" s="974">
        <f t="shared" si="8"/>
        <v>0</v>
      </c>
      <c r="AC19" s="974">
        <f t="shared" si="8"/>
        <v>0</v>
      </c>
      <c r="AD19" s="975">
        <f t="shared" si="8"/>
        <v>0</v>
      </c>
      <c r="AE19" s="975">
        <f t="shared" si="8"/>
        <v>9921</v>
      </c>
      <c r="AF19" s="976">
        <f t="shared" si="8"/>
        <v>0</v>
      </c>
      <c r="AG19" s="977">
        <f t="shared" si="8"/>
        <v>0</v>
      </c>
      <c r="AH19" s="978">
        <f t="shared" si="8"/>
        <v>0</v>
      </c>
      <c r="AI19" s="976">
        <f t="shared" si="8"/>
        <v>0</v>
      </c>
      <c r="AJ19" s="966">
        <f t="shared" si="8"/>
        <v>1326</v>
      </c>
      <c r="AK19" s="966">
        <f t="shared" si="8"/>
        <v>3406</v>
      </c>
      <c r="AL19" s="966">
        <f t="shared" si="8"/>
        <v>0</v>
      </c>
      <c r="AM19" s="979">
        <f t="shared" si="8"/>
        <v>0</v>
      </c>
      <c r="AN19" s="969">
        <f>IF(ISNUMBER(Datos!K19/Datos!J19),Datos!K19/Datos!J19," - ")</f>
        <v>0.89922138974584986</v>
      </c>
      <c r="AO19" s="969">
        <f>IF(ISNUMBER(FIND("06",Criterios!A8,1)),(IF(ISNUMBER(((Datos!R19/Datos!Q19)*11)/factor_trimestre),((Datos!R19/Datos!Q19)*11)/factor_trimestre," - ")),(IF(ISNUMBER(((Datos!L19/Datos!K19)*11)/factor_trimestre),((Datos!L19/Datos!K19)*11)/factor_trimestre," - ")))</f>
        <v>4.2159777814082666</v>
      </c>
      <c r="AP19" s="980" t="str">
        <f>IF(ISNUMBER(Datos!CI19/Datos!CJ19),Datos!CI19/Datos!CJ19," - ")</f>
        <v xml:space="preserve"> - </v>
      </c>
      <c r="AQ19" s="980">
        <f>IF(OR(ISNUMBER(FIND("01",Criterios!A8,1)),ISNUMBER(FIND("02",Criterios!A8,1)),ISNUMBER(FIND("03",Criterios!A8,1)),ISNUMBER(FIND("04",Criterios!A8,1))),(J19-Y19+K19)/(F19-K19),(I19-Y19+K19)/(F19-K19))</f>
        <v>-1.3801220575414124</v>
      </c>
      <c r="AR19" s="980">
        <f>IF(ISNUMBER((Datos!P19-Datos!Q19+O19)/(Datos!R19-Datos!P19+Datos!Q19-O19)),(Datos!P19-Datos!Q19+O19)/(Datos!R19-Datos!P19+Datos!Q19-O19)," - ")</f>
        <v>-1.4698579799384248E-2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754.66666666666663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1236.4007440955379</v>
      </c>
      <c r="G21" s="600">
        <f>IF(ISNUMBER(STDEV(G8:G18)),STDEV(G8:G18),"-")</f>
        <v>1134.8520020983647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438.58234824315059</v>
      </c>
      <c r="AK21" s="256"/>
      <c r="AL21" s="256">
        <f>IF(ISNUMBER(STDEV(AL8:AL18)),STDEV(AL8:AL18),"-")</f>
        <v>0</v>
      </c>
      <c r="AM21" s="258">
        <f>IF(ISNUMBER(STDEV(AM8:AM18)),STDEV(AM8:AM18),"-")</f>
        <v>0</v>
      </c>
      <c r="AN21" s="586">
        <f>IF(ISNUMBER(STDEV(AN8:AN18)),STDEV(AN8:AN18),"-")</f>
        <v>0</v>
      </c>
      <c r="AO21" s="587">
        <f>IF(ISNUMBER(STDEV(AO8:AO18)),STDEV(AO8:AO18),"-")</f>
        <v>10.121672167698327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WDJWz+G29T6ejDu/EOjpjm3ztcHkIUSdlHjFuWR9pLBziKeuItm15uF5v7JqsTYzlFuq3QvM4G3dkBiESXAtw==" saltValue="HagtdFk4e2a6t/yQTVCC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wjRZ+37ysoeSqeEa/S0HhriGFZwwHkmztiYgnt0GlB1u25rU3MhZArrAeu5gHocaJJrFTuvXsr6cgUiAOTuTQ==" saltValue="+v5J+etu/CpUWoTXZtAq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n9wvq2Xl0mkfSt8vNYeRuhqtzHxd8lNW1nGxFVU2DQT6tOQeGjnDDr60E2x370htSfFSXKnzoQ0zXtMqcDomQ==" saltValue="Rk/BwMlkxQqdbxsB1NSA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 CRISTOBAL DE LA LAGUNA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0.31351869606903165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0.22169119601917647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DBylRM/gNDQ9F3aSFwWl3qETX7KDDrr6xHo+6XxkJdZEG4Spi/TxaJOR9bQt8SMfGQH3vw6RL7EKE/Fse4ISA==" saltValue="7fJ8FPuHdMy0QaDzWkF/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oaAYMRYvRq00UPED3ce2OLofjAjB2H6UsdcS2vSENTgsDg3U1kTZjcjAEELZUt9019V8reWJCwaO/NbP0tb+A==" saltValue="10+bNtn1cYLLUVzBasmV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 CRISTOBAL DE LA LAGUNA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10061</v>
      </c>
      <c r="D9" s="415">
        <f>IF(ISNUMBER(C9/Datos!BH9),C9/Datos!BH9," - ")</f>
        <v>1437.2857142857142</v>
      </c>
      <c r="E9" s="414">
        <f>IF(ISNUMBER(IF(J_V="SI",Datos!J9,Datos!J9+Datos!Z9)),IF(J_V="SI",Datos!J9,Datos!J9+Datos!Z9)," - ")</f>
        <v>3722</v>
      </c>
      <c r="F9" s="415">
        <f>IF(ISNUMBER(E9/B9),E9/B9," - ")</f>
        <v>531.71428571428567</v>
      </c>
      <c r="G9" s="414">
        <f>IF(ISNUMBER(IF(J_V="SI",Datos!K9,Datos!K9+Datos!AA9)),IF(J_V="SI",Datos!K9,Datos!K9+Datos!AA9)," - ")</f>
        <v>3119</v>
      </c>
      <c r="H9" s="415">
        <f>IF(ISNUMBER(G9/B9),G9/B9," - ")</f>
        <v>445.57142857142856</v>
      </c>
      <c r="I9" s="414">
        <f>IF(ISNUMBER(IF(J_V="SI",Datos!L9,Datos!L9+Datos!AB9)),IF(J_V="SI",Datos!L9,Datos!L9+Datos!AB9)," - ")</f>
        <v>10664</v>
      </c>
      <c r="J9" s="415">
        <f>IF(ISNUMBER(I9/B9),I9/B9," - ")</f>
        <v>1523.4285714285713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8</v>
      </c>
      <c r="F10" s="415">
        <f>IF(ISNUMBER(E10/B10),E10/B10," - ")</f>
        <v>8</v>
      </c>
      <c r="G10" s="414">
        <f>IF(ISNUMBER(Datos!K10),Datos!K10," - ")</f>
        <v>10</v>
      </c>
      <c r="H10" s="415">
        <f>IF(ISNUMBER(G10/B10),G10/B10," - ")</f>
        <v>10</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10078</v>
      </c>
      <c r="D13" s="996" t="str">
        <f>IF(ISNUMBER(C13/Datos!BI13),C13/Datos!BI13," - ")</f>
        <v xml:space="preserve"> - </v>
      </c>
      <c r="E13" s="995">
        <f>SUBTOTAL(9,E8:E12)</f>
        <v>3730</v>
      </c>
      <c r="F13" s="996">
        <f>IF(ISNUMBER(E13/B13),E13/B13," - ")</f>
        <v>532.85714285714289</v>
      </c>
      <c r="G13" s="995">
        <f>SUBTOTAL(9,G8:G12)</f>
        <v>3129</v>
      </c>
      <c r="H13" s="996">
        <f>IF(ISNUMBER(G13/B13),G13/B13," - ")</f>
        <v>447</v>
      </c>
      <c r="I13" s="995">
        <f>SUBTOTAL(9,I8:I12)</f>
        <v>10679</v>
      </c>
      <c r="J13" s="996">
        <f>IF(ISNUMBER(I13/B13),I13/B13," - ")</f>
        <v>1525.5714285714287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2192</v>
      </c>
      <c r="D15" s="415">
        <f>IF(ISNUMBER(C15/Datos!BH15),C15/Datos!BH15," - ")</f>
        <v>548</v>
      </c>
      <c r="E15" s="414">
        <f>IF(ISNUMBER(IF(D_I="SI",Datos!J15,Datos!J15+Datos!AD15)),IF(D_I="SI",Datos!J15,Datos!J15+Datos!AD15)," - ")</f>
        <v>3224</v>
      </c>
      <c r="F15" s="415">
        <f>IF(ISNUMBER(E15/B15),E15/B15," - ")</f>
        <v>806</v>
      </c>
      <c r="G15" s="414">
        <f>IF(ISNUMBER(IF(D_I="SI",Datos!K15,Datos!K15+Datos!AE15)),IF(D_I="SI",Datos!K15,Datos!K15+Datos!AE15)," - ")</f>
        <v>3153</v>
      </c>
      <c r="H15" s="415">
        <f>IF(ISNUMBER(G15/B15),G15/B15," - ")</f>
        <v>788.25</v>
      </c>
      <c r="I15" s="414">
        <f>IF(ISNUMBER(IF(D_I="SI",Datos!L15,Datos!L15+Datos!AF15)),IF(D_I="SI",Datos!L15,Datos!L15+Datos!AF15)," - ")</f>
        <v>2338</v>
      </c>
      <c r="J15" s="415">
        <f>IF(ISNUMBER(I15/B15),I15/B15," - ")</f>
        <v>584.5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10</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v>
      </c>
      <c r="D17" s="415">
        <f>IF(ISNUMBER(C17/Datos!BH17),C17/Datos!BH17," - ")</f>
        <v>45</v>
      </c>
      <c r="E17" s="414">
        <f>IF(ISNUMBER(IF(D_I="SI",Datos!J17,Datos!J17+Datos!AD17)),IF(D_I="SI",Datos!J17,Datos!J17+Datos!AD17)," - ")</f>
        <v>0</v>
      </c>
      <c r="F17" s="415">
        <f>IF(ISNUMBER(E17/B17),E17/B17," - ")</f>
        <v>0</v>
      </c>
      <c r="G17" s="414">
        <f>IF(ISNUMBER(IF(D_I="SI",Datos!K17,Datos!K17+Datos!AE17)),IF(D_I="SI",Datos!K17,Datos!K17+Datos!AE17)," - ")</f>
        <v>3</v>
      </c>
      <c r="H17" s="415">
        <f>IF(ISNUMBER(G17/B17),G17/B17," - ")</f>
        <v>3</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2247</v>
      </c>
      <c r="D18" s="996" t="str">
        <f>IF(ISNUMBER(C18/Datos!BI18),C18/Datos!BI18," - ")</f>
        <v xml:space="preserve"> - </v>
      </c>
      <c r="E18" s="995">
        <f>SUBTOTAL(9,E14:E17)</f>
        <v>3224</v>
      </c>
      <c r="F18" s="996">
        <f>IF(ISNUMBER(E18/B18),E18/B18," - ")</f>
        <v>806</v>
      </c>
      <c r="G18" s="995">
        <f>SUBTOTAL(9,G14:G17)</f>
        <v>3156</v>
      </c>
      <c r="H18" s="996">
        <f>IF(ISNUMBER(G18/B18),G18/B18," - ")</f>
        <v>789</v>
      </c>
      <c r="I18" s="995">
        <f>SUBTOTAL(9,I14:I17)</f>
        <v>2390</v>
      </c>
      <c r="J18" s="996">
        <f>IF(ISNUMBER(I18/B18),I18/B18," - ")</f>
        <v>597.5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12325</v>
      </c>
      <c r="D19" s="941" t="str">
        <f>IF(ISNUMBER(C19/Datos!BI19),C19/Datos!BI19," - ")</f>
        <v xml:space="preserve"> - </v>
      </c>
      <c r="E19" s="940">
        <f>SUBTOTAL(9,E9:E18)</f>
        <v>6954</v>
      </c>
      <c r="F19" s="941">
        <f>IF(ISNUMBER(E19/B19),E19/B19," - ")</f>
        <v>632.18181818181813</v>
      </c>
      <c r="G19" s="940">
        <f>SUBTOTAL(9,G9:G18)</f>
        <v>6285</v>
      </c>
      <c r="H19" s="941">
        <f>IF(ISNUMBER(G19/B19),G19/B19," - ")</f>
        <v>571.36363636363637</v>
      </c>
      <c r="I19" s="940">
        <f>SUBTOTAL(9,I9:I18)</f>
        <v>13069</v>
      </c>
      <c r="J19" s="941">
        <f>IF(ISNUMBER(I19/B19),I19/B19," - ")</f>
        <v>1188.090909090909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u/v1wPcHJDh5dhsYOhuCjw6vf/71XiRRi/C7CtKt36c2TMVtwOKkr1GlO2L/rbS8TPvApnU/A2kZ449vDRfrA==" saltValue="kI1pNZyvBrLXmugSpJ/U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 CRISTOBAL DE LA LAGUNA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0</v>
      </c>
      <c r="AE13" s="1085">
        <f t="shared" si="1"/>
        <v>0</v>
      </c>
      <c r="AF13" s="1085">
        <f t="shared" si="1"/>
        <v>15</v>
      </c>
      <c r="AG13" s="1085">
        <f t="shared" si="1"/>
        <v>0</v>
      </c>
      <c r="AH13" s="1085">
        <f t="shared" si="1"/>
        <v>0</v>
      </c>
      <c r="AI13" s="1085">
        <f t="shared" si="1"/>
        <v>0</v>
      </c>
      <c r="AJ13" s="1085">
        <f t="shared" si="1"/>
        <v>0</v>
      </c>
      <c r="AK13" s="1085">
        <f t="shared" si="1"/>
        <v>0</v>
      </c>
      <c r="AL13" s="1085">
        <f t="shared" si="1"/>
        <v>2</v>
      </c>
      <c r="AM13" s="1085">
        <f t="shared" si="1"/>
        <v>8</v>
      </c>
      <c r="AN13" s="1085">
        <f t="shared" si="1"/>
        <v>0</v>
      </c>
      <c r="AO13" s="1085">
        <f t="shared" si="1"/>
        <v>0</v>
      </c>
      <c r="AP13" s="1090">
        <f>IF(ISNUMBER(((Datos!L13/Datos!K13)*11)/factor_trimestre),((Datos!L13/Datos!K13)*11)/factor_trimestre," - ")</f>
        <v>7.0913996627318729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-0.58823529411764708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1.5145754119138148</v>
      </c>
      <c r="AQ18" s="1090">
        <f>IF(ISNUMBER(((Datos!M18/Datos!L18)*11)/factor_trimestre),((Datos!M18/Datos!L18)*11)/factor_trimestre," - ")</f>
        <v>0.28870292887029286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-9.4758064516129031E-2</v>
      </c>
      <c r="AW18" s="1092">
        <f>IF(ISNUMBER((Datos!Q18-Datos!R18)/(Datos!S18-Datos!Q18+Datos!R18)),(Datos!Q18-Datos!R18)/(Datos!S18-Datos!Q18+Datos!R18)," - ")</f>
        <v>-0.1434363912823112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0</v>
      </c>
      <c r="AE19" s="1103">
        <f t="shared" si="5"/>
        <v>0</v>
      </c>
      <c r="AF19" s="1104">
        <f t="shared" si="5"/>
        <v>15</v>
      </c>
      <c r="AG19" s="1104">
        <f t="shared" si="5"/>
        <v>0</v>
      </c>
      <c r="AH19" s="1104">
        <f t="shared" si="5"/>
        <v>0</v>
      </c>
      <c r="AI19" s="1104">
        <f t="shared" si="5"/>
        <v>0</v>
      </c>
      <c r="AJ19" s="1105">
        <f t="shared" si="5"/>
        <v>0</v>
      </c>
      <c r="AK19" s="1105">
        <f t="shared" si="5"/>
        <v>0</v>
      </c>
      <c r="AL19" s="1097">
        <f t="shared" si="5"/>
        <v>2</v>
      </c>
      <c r="AM19" s="1097">
        <f t="shared" si="5"/>
        <v>8</v>
      </c>
      <c r="AN19" s="1097">
        <f t="shared" si="5"/>
        <v>0</v>
      </c>
      <c r="AO19" s="1097">
        <f t="shared" si="5"/>
        <v>0</v>
      </c>
      <c r="AP19" s="1097">
        <f>IF(ISNUMBER(((Datos!L19/Datos!K19)*11)/factor_trimestre),((Datos!L19/Datos!K19)*11)/factor_trimestre," - ")</f>
        <v>4.2159777814082666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-0.58823529411764708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-1.4698579799384248E-2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1.1547005383792517</v>
      </c>
      <c r="AM21" s="869"/>
      <c r="AN21" s="869">
        <f>IF(ISNUMBER(STDEV(AN8:AN18)),STDEV(AN8:AN18),"-")</f>
        <v>0</v>
      </c>
      <c r="AO21" s="875">
        <f>IF(ISNUMBER(STDEV(AO8:AO18)),STDEV(AO8:AO18),"-")</f>
        <v>0</v>
      </c>
      <c r="AP21" s="922">
        <f>IF(ISNUMBER(STDEV(AP8:AP18)),STDEV(AP8:AP18),"-")</f>
        <v>2.8881079773098821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7qUOl1q2jccrZ44XLSjkyRlZ71wKeCCkQBi+I8EViH3KNku1qh8OqFNp6EHw3IQPVvzAGAOmc9ll9LPlMualw==" saltValue="UPp+sO8uJ+mcj5TexKOm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 CRISTOBAL DE LA LAGUNA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33Sj0lQFn2xGFEX4E8B2VrcryPl7z+QiyfTtE7swUss5ldPv38o7b4crAmnH+esyAfI9+Syje7wYdG1nczf8Q==" saltValue="q+5nxcPmdtj81ihh79uS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 CRISTOBAL DE LA LAGUNA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979</v>
      </c>
      <c r="E9" s="415">
        <f t="shared" ref="E9:E13" si="0">IF(ISNUMBER(D9/B9),D9/B9," - ")</f>
        <v>139.85714285714286</v>
      </c>
      <c r="F9" s="414">
        <f>IF(ISNUMBER(Datos!N9),Datos!N9," - ")</f>
        <v>1219</v>
      </c>
      <c r="G9" s="415">
        <f t="shared" ref="G9:G13" si="1">IF(ISNUMBER(F9/B9),F9/B9," - ")</f>
        <v>174.14285714285714</v>
      </c>
      <c r="H9" s="414">
        <f>IF(ISNUMBER(Datos!O9),Datos!O9," - ")</f>
        <v>1174</v>
      </c>
      <c r="I9" s="415">
        <f>IF(ISNUMBER(H9/B9),H9/B9," - ")</f>
        <v>167.71428571428572</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8</v>
      </c>
      <c r="G10" s="415">
        <f>IF(ISNUMBER(F10/B10),F10/B10," - ")</f>
        <v>8</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7</v>
      </c>
      <c r="D13" s="995">
        <f>SUBTOTAL(9,D9:D12)</f>
        <v>981</v>
      </c>
      <c r="E13" s="996">
        <f t="shared" si="0"/>
        <v>122.625</v>
      </c>
      <c r="F13" s="995">
        <f>SUBTOTAL(9,F9:F12)</f>
        <v>1227</v>
      </c>
      <c r="G13" s="996">
        <f t="shared" si="1"/>
        <v>153.375</v>
      </c>
      <c r="H13" s="995">
        <f>SUBTOTAL(9,H9:H12)</f>
        <v>1174</v>
      </c>
      <c r="I13" s="996">
        <f>IF(ISNUMBER(H13/B13),H13/B13," - ")</f>
        <v>146.75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345</v>
      </c>
      <c r="E15" s="415">
        <f t="shared" ref="E15:E18" si="3">IF(ISNUMBER(D15/B15),D15/B15," - ")</f>
        <v>86.25</v>
      </c>
      <c r="F15" s="414">
        <f>IF(ISNUMBER(Datos!N15),Datos!N15," - ")</f>
        <v>2178</v>
      </c>
      <c r="G15" s="415">
        <f t="shared" ref="G15:G18" si="4">IF(ISNUMBER(F15/B15),F15/B15," - ")</f>
        <v>544.5</v>
      </c>
      <c r="H15" s="414">
        <f>IF(ISNUMBER(Datos!O15),Datos!O15," - ")</f>
        <v>10</v>
      </c>
      <c r="I15" s="415">
        <f t="shared" ref="I15:I17" si="5">IF(ISNUMBER(H15/B15),H15/B15," - ")</f>
        <v>2.5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5</v>
      </c>
      <c r="C18" s="997">
        <f>Datos!AR18</f>
        <v>4</v>
      </c>
      <c r="D18" s="995">
        <f>SUBTOTAL(9,D15:D17)</f>
        <v>345</v>
      </c>
      <c r="E18" s="996">
        <f t="shared" si="3"/>
        <v>69</v>
      </c>
      <c r="F18" s="995">
        <f>SUBTOTAL(9,F15:F17)</f>
        <v>2179</v>
      </c>
      <c r="G18" s="996">
        <f t="shared" si="4"/>
        <v>435.8</v>
      </c>
      <c r="H18" s="995">
        <f>SUBTOTAL(9,H15:H17)</f>
        <v>10</v>
      </c>
      <c r="I18" s="996">
        <f>IF(ISNUMBER(H18/B18),H18/B18," - ")</f>
        <v>2</v>
      </c>
    </row>
    <row r="19" spans="1:9" ht="14.25" thickTop="1" thickBot="1">
      <c r="A19" s="939" t="str">
        <f>Datos!A19</f>
        <v>TOTAL JURISDICCIONES</v>
      </c>
      <c r="B19" s="940">
        <f>Datos!AP19</f>
        <v>11</v>
      </c>
      <c r="C19" s="940">
        <f>Datos!AR19</f>
        <v>11</v>
      </c>
      <c r="D19" s="940">
        <f>SUBTOTAL(9,D8:D18)</f>
        <v>1326</v>
      </c>
      <c r="E19" s="941">
        <f>IF(ISNUMBER(D19/B19),D19/B19," - ")</f>
        <v>120.54545454545455</v>
      </c>
      <c r="F19" s="940">
        <f>SUBTOTAL(9,F8:F18)</f>
        <v>3406</v>
      </c>
      <c r="G19" s="941">
        <f>IF(ISNUMBER(F19/B19),F19/B19," - ")</f>
        <v>309.63636363636363</v>
      </c>
      <c r="H19" s="940">
        <f>SUBTOTAL(9,H8:H18)</f>
        <v>1184</v>
      </c>
      <c r="I19" s="941">
        <f>IF(ISNUMBER(H19/B19),H19/B19," - ")</f>
        <v>107.63636363636364</v>
      </c>
    </row>
    <row r="22" spans="1:9">
      <c r="A22" s="402" t="str">
        <f>Criterios!A4</f>
        <v>Fecha Informe: 29 nov. 2023</v>
      </c>
    </row>
    <row r="27" spans="1:9">
      <c r="A27" s="425"/>
    </row>
  </sheetData>
  <sheetProtection algorithmName="SHA-512" hashValue="i/X6HHQvJPcBstX9fT7Ktx31sYvOsX+HMuF7k+KmxOyHhm+qwRZ8xw5ongDyMiJ2UquW7vsQlGmwzUF8fmWqVw==" saltValue="IXjK7eIqcLSn8tsdv3vZ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 CRISTOBAL DE LA LAGUNA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642</v>
      </c>
      <c r="C9" s="450">
        <f>IF(ISNUMBER(Datos!Q9),Datos!Q9," - ")</f>
        <v>747</v>
      </c>
      <c r="D9" s="419">
        <f>IF(ISNUMBER(Datos!R9),Datos!R9," - ")</f>
        <v>9403</v>
      </c>
    </row>
    <row r="10" spans="1:4">
      <c r="A10" s="413" t="str">
        <f>Datos!A10</f>
        <v>Jdos. Violencia contra la mujer</v>
      </c>
      <c r="B10" s="449">
        <f>IF(ISNUMBER(Datos!P10),Datos!P10," - ")</f>
        <v>4</v>
      </c>
      <c r="C10" s="450">
        <f>IF(ISNUMBER(Datos!Q10),Datos!Q10," - ")</f>
        <v>0</v>
      </c>
      <c r="D10" s="419">
        <f>IF(ISNUMBER(Datos!R10),Datos!R10," - ")</f>
        <v>69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646</v>
      </c>
      <c r="C13" s="999">
        <f>SUBTOTAL(9,C9:C12)</f>
        <v>747</v>
      </c>
      <c r="D13" s="997">
        <f>SUBTOTAL(9,D9:D12)</f>
        <v>9472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119</v>
      </c>
      <c r="C15" s="450">
        <f>IF(ISNUMBER(Datos!Q15),Datos!Q15," - ")</f>
        <v>162</v>
      </c>
      <c r="D15" s="419">
        <f>IF(ISNUMBER(Datos!R15),Datos!R15," - ")</f>
        <v>437</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0</v>
      </c>
      <c r="C17" s="450">
        <f>IF(ISNUMBER(Datos!Q17),Datos!Q17," - ")</f>
        <v>4</v>
      </c>
      <c r="D17" s="419">
        <f>IF(ISNUMBER(Datos!R17),Datos!R17," - ")</f>
        <v>12</v>
      </c>
    </row>
    <row r="18" spans="1:4" ht="14.25" thickTop="1" thickBot="1">
      <c r="A18" s="994" t="str">
        <f>Datos!A18</f>
        <v>TOTAL</v>
      </c>
      <c r="B18" s="995">
        <f>SUBTOTAL(9,B15:B17)</f>
        <v>119</v>
      </c>
      <c r="C18" s="999">
        <f>SUBTOTAL(9,C15:C17)</f>
        <v>166</v>
      </c>
      <c r="D18" s="997">
        <f>SUBTOTAL(9,D15:D17)</f>
        <v>449</v>
      </c>
    </row>
    <row r="19" spans="1:4" ht="16.5" customHeight="1" thickTop="1" thickBot="1">
      <c r="A19" s="939" t="str">
        <f>Datos!A19</f>
        <v>TOTAL JURISDICCIONES</v>
      </c>
      <c r="B19" s="944">
        <f>SUBTOTAL(9,B8:B18)</f>
        <v>765</v>
      </c>
      <c r="C19" s="945">
        <f>SUBTOTAL(9,C8:C18)</f>
        <v>913</v>
      </c>
      <c r="D19" s="946">
        <f>SUBTOTAL(9,D8:D18)</f>
        <v>9921</v>
      </c>
    </row>
    <row r="20" spans="1:4" ht="7.5" customHeight="1"/>
    <row r="21" spans="1:4" ht="6" customHeight="1"/>
    <row r="22" spans="1:4">
      <c r="A22" s="402" t="str">
        <f>Criterios!A4</f>
        <v>Fecha Informe: 29 nov. 2023</v>
      </c>
    </row>
    <row r="27" spans="1:4">
      <c r="A27" s="425"/>
    </row>
  </sheetData>
  <sheetProtection algorithmName="SHA-512" hashValue="efIrvB4QjkefLJOLqCCwJ/1te1LQnsNNBvIk7qgvwa3bc70xrDyEUTYdjI4eXd2kM5u3dTe5hH8E/HC/Z6ufoA==" saltValue="WxSkgQaZi5ssCPN9ZKrY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 CRISTOBAL DE LA LAGUNA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0.26649043303121855</v>
      </c>
      <c r="C9" s="472">
        <f>IF(ISNUMBER(
   IF(J_V="SI",(Datos!J9-Datos!T9)/Datos!T9,(Datos!J9+Datos!Z9-(Datos!T9+Datos!AH9))/(Datos!T9+Datos!AH9))
     ),IF(J_V="SI",(Datos!J9-Datos!T9)/Datos!T9,(Datos!J9+Datos!Z9-(Datos!T9+Datos!AH9))/(Datos!T9+Datos!AH9))," - ")</f>
        <v>0.29776847977684801</v>
      </c>
      <c r="D9" s="472">
        <f>IF(ISNUMBER(
   IF(J_V="SI",(Datos!K9-Datos!U9)/Datos!U9,(Datos!K9+Datos!AA9-(Datos!U9+Datos!AI9))/(Datos!U9+Datos!AI9))
     ),IF(J_V="SI",(Datos!K9-Datos!U9)/Datos!U9,(Datos!K9+Datos!AA9-(Datos!U9+Datos!AI9))/(Datos!U9+Datos!AI9))," - ")</f>
        <v>0.13915266617969321</v>
      </c>
      <c r="E9" s="472">
        <f>IF(ISNUMBER(
   IF(J_V="SI",(Datos!L9-Datos!V9)/Datos!V9,(Datos!L9+Datos!AB9-(Datos!V9+Datos!AJ9))/(Datos!V9+Datos!AJ9))
     ),IF(J_V="SI",(Datos!L9-Datos!V9)/Datos!V9,(Datos!L9+Datos!AB9-(Datos!V9+Datos!AJ9))/(Datos!V9+Datos!AJ9))," - ")</f>
        <v>0.32078275947485757</v>
      </c>
      <c r="F9" s="472">
        <f>IF(ISNUMBER((Datos!M9-Datos!W9)/Datos!W9),(Datos!M9-Datos!W9)/Datos!W9," - ")</f>
        <v>-6.1361457334611694E-2</v>
      </c>
      <c r="G9" s="473">
        <f>IF(ISNUMBER((Datos!N9-Datos!X9)/Datos!X9),(Datos!N9-Datos!X9)/Datos!X9," - ")</f>
        <v>0.3836549375709421</v>
      </c>
      <c r="H9" s="471">
        <f>IF(ISNUMBER(((NºAsuntos!G9/NºAsuntos!E9)-Datos!BD9)/Datos!BD9),((NºAsuntos!G9/NºAsuntos!E9)-Datos!BD9)/Datos!BD9," - ")</f>
        <v>-0.12222196491043523</v>
      </c>
      <c r="I9" s="472">
        <f>IF(ISNUMBER(((NºAsuntos!I9/NºAsuntos!G9)-Datos!BE9)/Datos!BE9),((NºAsuntos!I9/NºAsuntos!G9)-Datos!BE9)/Datos!BE9," - ")</f>
        <v>0.15944315339601156</v>
      </c>
      <c r="J9" s="477">
        <f>IF(ISNUMBER((('Resol  Asuntos'!D9/NºAsuntos!G9)-Datos!BF9)/Datos!BF9),(('Resol  Asuntos'!D9/NºAsuntos!G9)-Datos!BF9)/Datos!BF9," - ")</f>
        <v>-2.4505438637416565E-2</v>
      </c>
      <c r="K9" s="478">
        <f>IF(ISNUMBER((((NºAsuntos!C9+NºAsuntos!E9)/NºAsuntos!G9)-Datos!BG9)/Datos!BG9),(((NºAsuntos!C9+NºAsuntos!E9)/NºAsuntos!G9)-Datos!BG9)/Datos!BG9," - ")</f>
        <v>0.11906622461333667</v>
      </c>
    </row>
    <row r="10" spans="1:11">
      <c r="A10" s="413" t="str">
        <f>Datos!A10</f>
        <v>Jdos. Violencia contra la mujer</v>
      </c>
      <c r="B10" s="471">
        <f>IF(ISNUMBER((Datos!I10-Datos!S10)/Datos!S10),(Datos!I10-Datos!S10)/Datos!S10," - ")</f>
        <v>-0.66</v>
      </c>
      <c r="C10" s="472">
        <f>IF(ISNUMBER((Datos!J10-Datos!T10)/Datos!T10),(Datos!J10-Datos!T10)/Datos!T10," - ")</f>
        <v>-0.38461538461538464</v>
      </c>
      <c r="D10" s="472">
        <f>IF(ISNUMBER((Datos!K10-Datos!U10)/Datos!U10),(Datos!K10-Datos!U10)/Datos!U10," - ")</f>
        <v>-0.61538461538461542</v>
      </c>
      <c r="E10" s="472">
        <f>IF(ISNUMBER((Datos!L10-Datos!V10)/Datos!V10),(Datos!L10-Datos!V10)/Datos!V10," - ")</f>
        <v>-0.59459459459459463</v>
      </c>
      <c r="F10" s="472">
        <f>IF(ISNUMBER((Datos!M10-Datos!W10)/Datos!W10),(Datos!M10-Datos!W10)/Datos!W10," - ")</f>
        <v>-0.89473684210526316</v>
      </c>
      <c r="G10" s="473">
        <f>IF(ISNUMBER((Datos!N10-Datos!X10)/Datos!X10),(Datos!N10-Datos!X10)/Datos!X10," - ")</f>
        <v>0.33333333333333331</v>
      </c>
      <c r="H10" s="471">
        <f>IF(ISNUMBER(((NºAsuntos!G10/NºAsuntos!E10)-Datos!BD10)/Datos!BD10),((NºAsuntos!G10/NºAsuntos!E10)-Datos!BD10)/Datos!BD10," - ")</f>
        <v>-0.375</v>
      </c>
      <c r="I10" s="472">
        <f>IF(ISNUMBER(((NºAsuntos!I10/NºAsuntos!G10)-Datos!BE10)/Datos!BE10),((NºAsuntos!I10/NºAsuntos!G10)-Datos!BE10)/Datos!BE10," - ")</f>
        <v>5.4054054054054015E-2</v>
      </c>
      <c r="J10" s="477">
        <f>IF(ISNUMBER((('Resol  Asuntos'!D10/NºAsuntos!G10)-Datos!BF10)/Datos!BF10),(('Resol  Asuntos'!D10/NºAsuntos!G10)-Datos!BF10)/Datos!BF10," - ")</f>
        <v>-0.72631578947368414</v>
      </c>
      <c r="K10" s="478">
        <f>IF(ISNUMBER((((NºAsuntos!C10+NºAsuntos!E10)/NºAsuntos!G10)-Datos!BG10)/Datos!BG10),(((NºAsuntos!C10+NºAsuntos!E10)/NºAsuntos!G10)-Datos!BG10)/Datos!BG10," - ")</f>
        <v>3.1746031746031821E-2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0.26069552164123094</v>
      </c>
      <c r="C13" s="1001">
        <f>IF(ISNUMBER(
   IF(J_V="SI",(Datos!J13-Datos!T13)/Datos!T13,(Datos!J13+Datos!Z13-(Datos!T13+Datos!AH13))/(Datos!T13+Datos!AH13))
     ),IF(J_V="SI",(Datos!J13-Datos!T13)/Datos!T13,(Datos!J13+Datos!Z13-(Datos!T13+Datos!AH13))/(Datos!T13+Datos!AH13))," - ")</f>
        <v>0.29468934397778551</v>
      </c>
      <c r="D13" s="1001">
        <f>IF(ISNUMBER(
   IF(J_V="SI",(Datos!K13-Datos!U13)/Datos!U13,(Datos!K13+Datos!AA13-(Datos!U13+Datos!AI13))/(Datos!U13+Datos!AI13))
     ),IF(J_V="SI",(Datos!K13-Datos!U13)/Datos!U13,(Datos!K13+Datos!AA13-(Datos!U13+Datos!AI13))/(Datos!U13+Datos!AI13))," - ")</f>
        <v>0.13205499276410998</v>
      </c>
      <c r="E13" s="1001">
        <f>IF(ISNUMBER(
   IF(J_V="SI",(Datos!L13-Datos!V13)/Datos!V13,(Datos!L13+Datos!AB13-(Datos!V13+Datos!AJ13))/(Datos!V13+Datos!AJ13))
     ),IF(J_V="SI",(Datos!L13-Datos!V13)/Datos!V13,(Datos!L13+Datos!AB13-(Datos!V13+Datos!AJ13))/(Datos!V13+Datos!AJ13))," - ")</f>
        <v>0.31660707680927136</v>
      </c>
      <c r="F13" s="1002">
        <f>IF(ISNUMBER((Datos!M13-Datos!W13)/Datos!W13),(Datos!M13-Datos!W13)/Datos!W13," - ")</f>
        <v>-7.6271186440677971E-2</v>
      </c>
      <c r="G13" s="1003">
        <f>IF(ISNUMBER((Datos!N13-Datos!X13)/Datos!X13),(Datos!N13-Datos!X13)/Datos!X13," - ")</f>
        <v>0.38331454340473509</v>
      </c>
      <c r="H13" s="1003">
        <f>IF(ISNUMBER(((NºAsuntos!G13/NºAsuntos!E13)-Datos!BD13)/Datos!BD13),((NºAsuntos!G13/NºAsuntos!E13)-Datos!BD13)/Datos!BD13," - ")</f>
        <v>-0.12561650558890058</v>
      </c>
      <c r="I13" s="1003">
        <f>IF(ISNUMBER(((NºAsuntos!I13/NºAsuntos!G13)-Datos!BE13)/Datos!BE13),((NºAsuntos!I13/NºAsuntos!G13)-Datos!BE13)/Datos!BE13," - ")</f>
        <v>0.16302395663177563</v>
      </c>
      <c r="J13" s="1003">
        <f>IF(ISNUMBER((('Resol  Asuntos'!D13/NºAsuntos!G13)-Datos!BF13)/Datos!BF13),(('Resol  Asuntos'!D13/NºAsuntos!G13)-Datos!BF13)/Datos!BF13," - ")</f>
        <v>-3.7149248961329408E-2</v>
      </c>
      <c r="K13" s="1003">
        <f>IF(ISNUMBER((((NºAsuntos!C13+NºAsuntos!E13)/NºAsuntos!G13)-Datos!BG13)/Datos!BG13),(((NºAsuntos!C13+NºAsuntos!E13)/NºAsuntos!G13)-Datos!BG13)/Datos!BG13," - ")</f>
        <v>0.12158963790715697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0.34892307692307695</v>
      </c>
      <c r="C15" s="472">
        <f>IF(ISNUMBER(
   IF(D_I="SI",(Datos!J15-Datos!T15)/Datos!T15,(Datos!J15+Datos!AD15-(Datos!T15+Datos!AL15))/(Datos!T15+Datos!AL15))
     ),IF(D_I="SI",(Datos!J15-Datos!T15)/Datos!T15,(Datos!J15+Datos!AD15-(Datos!T15+Datos!AL15))/(Datos!T15+Datos!AL15))," - ")</f>
        <v>9.0294217111937775E-2</v>
      </c>
      <c r="D15" s="472">
        <f>IF(ISNUMBER(
   IF(D_I="SI",(Datos!K15-Datos!U15)/Datos!U15,(Datos!K15+Datos!AE15-(Datos!U15+Datos!AM15))/(Datos!U15+Datos!AM15))
     ),IF(D_I="SI",(Datos!K15-Datos!U15)/Datos!U15,(Datos!K15+Datos!AE15-(Datos!U15+Datos!AM15))/(Datos!U15+Datos!AM15))," - ")</f>
        <v>0.12206405693950179</v>
      </c>
      <c r="E15" s="472">
        <f>IF(ISNUMBER(
   IF(D_I="SI",(Datos!L15-Datos!V15)/Datos!V15,(Datos!L15+Datos!AF15-(Datos!V15+Datos!AN15))/(Datos!V15+Datos!AN15))
     ),IF(D_I="SI",(Datos!L15-Datos!V15)/Datos!V15,(Datos!L15+Datos!AF15-(Datos!V15+Datos!AN15))/(Datos!V15+Datos!AN15))," - ")</f>
        <v>0.27969348659003829</v>
      </c>
      <c r="F15" s="472">
        <f>IF(ISNUMBER((Datos!M15-Datos!W15)/Datos!W15),(Datos!M15-Datos!W15)/Datos!W15," - ")</f>
        <v>-0.10621761658031088</v>
      </c>
      <c r="G15" s="473">
        <f>IF(ISNUMBER((Datos!N15-Datos!X15)/Datos!X15),(Datos!N15-Datos!X15)/Datos!X15," - ")</f>
        <v>0.14091147197485596</v>
      </c>
      <c r="H15" s="471">
        <f>IF(ISNUMBER(((NºAsuntos!G15/NºAsuntos!E15)-Datos!BD15)/Datos!BD15),((NºAsuntos!G15/NºAsuntos!E15)-Datos!BD15)/Datos!BD15," - ")</f>
        <v>2.9138776789735393E-2</v>
      </c>
      <c r="I15" s="472">
        <f>IF(ISNUMBER(((NºAsuntos!I15/NºAsuntos!G15)-Datos!BE15)/Datos!BE15),((NºAsuntos!I15/NºAsuntos!G15)-Datos!BE15)/Datos!BE15," - ")</f>
        <v>0.14048166740184198</v>
      </c>
      <c r="J15" s="477">
        <f>IF(ISNUMBER((('Resol  Asuntos'!D15/NºAsuntos!G15)-Datos!BF15)/Datos!BF15),(('Resol  Asuntos'!D15/NºAsuntos!G15)-Datos!BF15)/Datos!BF15," - ")</f>
        <v>-0.20344798686668999</v>
      </c>
      <c r="K15" s="478">
        <f>IF(ISNUMBER((((NºAsuntos!C15+NºAsuntos!E15)/NºAsuntos!G15)-Datos!BG15)/Datos!BG15),(((NºAsuntos!C15+NºAsuntos!E15)/NºAsuntos!G15)-Datos!BG15)/Datos!BG15," - ")</f>
        <v>5.3430576742124272E-2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-0.98285714285714287</v>
      </c>
      <c r="E17" s="472">
        <f>IF(ISNUMBER(
   IF(D_I="SI",(Datos!L17-Datos!V17)/Datos!V17,(Datos!L17+Datos!AF17-(Datos!V17+Datos!AN17))/(Datos!V17+Datos!AN17))
     ),IF(D_I="SI",(Datos!L17-Datos!V17)/Datos!V17,(Datos!L17+Datos!AF17-(Datos!V17+Datos!AN17))/(Datos!V17+Datos!AN17))," - ")</f>
        <v>-0.3</v>
      </c>
      <c r="F17" s="472">
        <f>IF(ISNUMBER((Datos!M17-Datos!W17)/Datos!W17),(Datos!M17-Datos!W17)/Datos!W17," - ")</f>
        <v>-1</v>
      </c>
      <c r="G17" s="473">
        <f>IF(ISNUMBER((Datos!N17-Datos!X17)/Datos!X17),(Datos!N17-Datos!X17)/Datos!X17," - ")</f>
        <v>-0.98969072164948457</v>
      </c>
      <c r="H17" s="471" t="str">
        <f>IF(ISNUMBER(((NºAsuntos!G17/NºAsuntos!E17)-Datos!BD17)/Datos!BD17),((NºAsuntos!G17/NºAsuntos!E17)-Datos!BD17)/Datos!BD17," - ")</f>
        <v xml:space="preserve"> - </v>
      </c>
      <c r="I17" s="472">
        <f>IF(ISNUMBER(((NºAsuntos!I17/NºAsuntos!G17)-Datos!BE17)/Datos!BE17),((NºAsuntos!I17/NºAsuntos!G17)-Datos!BE17)/Datos!BE17," - ")</f>
        <v>39.833333333333329</v>
      </c>
      <c r="J17" s="477">
        <f>IF(ISNUMBER((('Resol  Asuntos'!D17/NºAsuntos!G17)-Datos!BF17)/Datos!BF17),(('Resol  Asuntos'!D17/NºAsuntos!G17)-Datos!BF17)/Datos!BF17," - ")</f>
        <v>-1</v>
      </c>
      <c r="K17" s="478">
        <f>IF(ISNUMBER((((NºAsuntos!C17+NºAsuntos!E17)/NºAsuntos!G17)-Datos!BG17)/Datos!BG17),(((NºAsuntos!C17+NºAsuntos!E17)/NºAsuntos!G17)-Datos!BG17)/Datos!BG17," - ")</f>
        <v>10.413043478260869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0.32958579881656802</v>
      </c>
      <c r="C18" s="1001">
        <f>IF(ISNUMBER(
   IF(Criterios!B14="SI",(Datos!J18-Datos!T18)/Datos!T18,(Datos!J18+Datos!AD18-(Datos!T18+Datos!AL18))/(Datos!T18+Datos!AL18))
     ),IF(Criterios!B14="SI",(Datos!J18-Datos!T18)/Datos!T18,(Datos!J18+Datos!AD18-(Datos!T18+Datos!AL18))/(Datos!T18+Datos!AL18))," - ")</f>
        <v>2.9374201787994891E-2</v>
      </c>
      <c r="D18" s="1001">
        <f>IF(ISNUMBER(
   IF(Criterios!B14="SI",(Datos!K18-Datos!U18)/Datos!U18,(Datos!K18+Datos!AE18-(Datos!U18+Datos!AM18))/(Datos!U18+Datos!AM18))
     ),IF(Criterios!B14="SI",(Datos!K18-Datos!U18)/Datos!U18,(Datos!K18+Datos!AE18-(Datos!U18+Datos!AM18))/(Datos!U18+Datos!AM18))," - ")</f>
        <v>5.7286432160804021E-2</v>
      </c>
      <c r="E18" s="1001">
        <f>IF(ISNUMBER(
   IF(Criterios!B14="SI",(Datos!L18-Datos!V18)/Datos!V18,(Datos!L18+Datos!AF18-(Datos!V18+Datos!AN18))/(Datos!V18+Datos!AN18))
     ),IF(Criterios!B14="SI",(Datos!L18-Datos!V18)/Datos!V18,(Datos!L18+Datos!AF18-(Datos!V18+Datos!AN18))/(Datos!V18+Datos!AN18))," - ")</f>
        <v>0.25988402741170269</v>
      </c>
      <c r="F18" s="1002">
        <f>IF(ISNUMBER((Datos!M18-Datos!W18)/Datos!W18),(Datos!M18-Datos!W18)/Datos!W18," - ")</f>
        <v>-0.21052631578947367</v>
      </c>
      <c r="G18" s="1003">
        <f>IF(ISNUMBER((Datos!N18-Datos!X18)/Datos!X18),(Datos!N18-Datos!X18)/Datos!X18," - ")</f>
        <v>8.624127617148554E-2</v>
      </c>
      <c r="H18" s="1003">
        <f>IF(ISNUMBER(((NºAsuntos!G18/NºAsuntos!E18)-Datos!BD18)/Datos!BD18),((NºAsuntos!G18/NºAsuntos!E18)-Datos!BD18)/Datos!BD18," - ")</f>
        <v>2.7115727520979502E-2</v>
      </c>
      <c r="I18" s="1003">
        <f>IF(ISNUMBER(((NºAsuntos!I18/NºAsuntos!G18)-Datos!BE18)/Datos!BE18),((NºAsuntos!I18/NºAsuntos!G18)-Datos!BE18)/Datos!BE18," - ")</f>
        <v>0.19162034912038423</v>
      </c>
      <c r="J18" s="1003">
        <f>IF(ISNUMBER((('Resol  Asuntos'!D18/NºAsuntos!G18)-Datos!BF18)/Datos!BF18),(('Resol  Asuntos'!D18/NºAsuntos!G18)-Datos!BF18)/Datos!BF18," - ")</f>
        <v>-0.25330198118871322</v>
      </c>
      <c r="K18" s="1003">
        <f>IF(ISNUMBER((((NºAsuntos!C18+NºAsuntos!E18)/NºAsuntos!G18)-Datos!BG18)/Datos!BG18),(((NºAsuntos!C18+NºAsuntos!E18)/NºAsuntos!G18)-Datos!BG18)/Datos!BG18," - ")</f>
        <v>7.3116443486996377E-2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0.27271788517141676</v>
      </c>
      <c r="C19" s="948">
        <f>IF(ISNUMBER(
   IF(J_V="SI",(Datos!J19-Datos!T19)/Datos!T19,(Datos!J19+Datos!Z19-(Datos!T19+Datos!AH19))/(Datos!T19+Datos!AH19))
     ),IF(J_V="SI",(Datos!J19-Datos!T19)/Datos!T19,(Datos!J19+Datos!Z19-(Datos!T19+Datos!AH19))/(Datos!T19+Datos!AH19))," - ")</f>
        <v>0.15649426243139863</v>
      </c>
      <c r="D19" s="948">
        <f>IF(ISNUMBER(
   IF(J_V="SI",(Datos!K19-Datos!U19)/Datos!U19,(Datos!K19+Datos!AA19-(Datos!U19+Datos!AI19))/(Datos!U19+Datos!AI19))
     ),IF(J_V="SI",(Datos!K19-Datos!U19)/Datos!U19,(Datos!K19+Datos!AA19-(Datos!U19+Datos!AI19))/(Datos!U19+Datos!AI19))," - ")</f>
        <v>9.3233605844494694E-2</v>
      </c>
      <c r="E19" s="948">
        <f>IF(ISNUMBER(
   IF(J_V="SI",(Datos!L19-Datos!V19)/Datos!V19,(Datos!L19+Datos!AB19-(Datos!V19+Datos!AJ19))/(Datos!V19+Datos!AJ19))
     ),IF(J_V="SI",(Datos!L19-Datos!V19)/Datos!V19,(Datos!L19+Datos!AB19-(Datos!V19+Datos!AJ19))/(Datos!V19+Datos!AJ19))," - ")</f>
        <v>0.3058553157474021</v>
      </c>
      <c r="F19" s="949">
        <f>IF(ISNUMBER((Datos!M19-Datos!W19)/Datos!W19),(Datos!M19-Datos!W19)/Datos!W19," - ")</f>
        <v>-0.11541027351567712</v>
      </c>
      <c r="G19" s="950">
        <f>IF(ISNUMBER((Datos!N19-Datos!X19)/Datos!X19),(Datos!N19-Datos!X19)/Datos!X19," - ")</f>
        <v>0.17732457656412029</v>
      </c>
      <c r="H19" s="951">
        <f>IF(ISNUMBER((Tasas!B19-Datos!BD19)/Datos!BD19),(Tasas!B19-Datos!BD19)/Datos!BD19," - ")</f>
        <v>-5.4700363539984635E-2</v>
      </c>
      <c r="I19" s="952">
        <f>IF(ISNUMBER((Tasas!C19-Datos!BE19)/Datos!BE19),(Tasas!C19-Datos!BE19)/Datos!BE19," - ")</f>
        <v>0.1944888162660007</v>
      </c>
      <c r="J19" s="953">
        <f>IF(ISNUMBER((Tasas!D19-Datos!BF19)/Datos!BF19),(Tasas!D19-Datos!BF19)/Datos!BF19," - ")</f>
        <v>-9.2808142762534226E-2</v>
      </c>
      <c r="K19" s="953">
        <f>IF(ISNUMBER((Tasas!E19-Datos!BG19)/Datos!BG19),(Tasas!E19-Datos!BG19)/Datos!BG19," - ")</f>
        <v>0.12345290530511459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NDp2FB9AZXK7OvHKKm6E7Xpot8vQVsnJtAveTWkbl44ceol6fpBtvjuUDHzHuyjUyXc31t0SiF+3Zl7VZR7Nw==" saltValue="Z01gkubro4nuKzuARPid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 CRISTOBAL DE LA LAGUNA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0.83799032778076299</v>
      </c>
      <c r="C9" s="459">
        <f>IF(ISNUMBER(NºAsuntos!I9/NºAsuntos!G9),NºAsuntos!I9/NºAsuntos!G9," - ")</f>
        <v>3.4190445655658865</v>
      </c>
      <c r="D9" s="460">
        <f>IF(ISNUMBER('Resol  Asuntos'!D9/NºAsuntos!G9),'Resol  Asuntos'!D9/NºAsuntos!G9," - ")</f>
        <v>0.31388265469701826</v>
      </c>
      <c r="E9" s="461">
        <f>IF(ISNUMBER((NºAsuntos!C9+NºAsuntos!E9)/NºAsuntos!G9),(NºAsuntos!C9+NºAsuntos!E9)/NºAsuntos!G9," - ")</f>
        <v>4.4190445655658861</v>
      </c>
      <c r="G9" s="479"/>
    </row>
    <row r="10" spans="1:7">
      <c r="A10" s="413" t="str">
        <f>Datos!A10</f>
        <v>Jdos. Violencia contra la mujer</v>
      </c>
      <c r="B10" s="458">
        <f>IF(ISNUMBER(NºAsuntos!G10/NºAsuntos!E10),NºAsuntos!G10/NºAsuntos!E10," - ")</f>
        <v>1.25</v>
      </c>
      <c r="C10" s="459">
        <f>IF(ISNUMBER(NºAsuntos!I10/NºAsuntos!G10),NºAsuntos!I10/NºAsuntos!G10," - ")</f>
        <v>1.5</v>
      </c>
      <c r="D10" s="460">
        <f>IF(ISNUMBER('Resol  Asuntos'!D10/NºAsuntos!G10),'Resol  Asuntos'!D10/NºAsuntos!G10," - ")</f>
        <v>0.2</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0.83887399463806966</v>
      </c>
      <c r="C13" s="1005">
        <f>IF(ISNUMBER(NºAsuntos!I13/NºAsuntos!G13),NºAsuntos!I13/NºAsuntos!G13," - ")</f>
        <v>3.4129114733141579</v>
      </c>
      <c r="D13" s="1006">
        <f>IF(ISNUMBER('Resol  Asuntos'!D13/NºAsuntos!G13),'Resol  Asuntos'!D13/NºAsuntos!G13," - ")</f>
        <v>0.31351869606903165</v>
      </c>
      <c r="E13" s="1007">
        <f>IF(ISNUMBER((NºAsuntos!C13+NºAsuntos!E13)/NºAsuntos!G13),(NºAsuntos!C13+NºAsuntos!E13)/NºAsuntos!G13," - ")</f>
        <v>4.4129114733141579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0.97797766749379655</v>
      </c>
      <c r="C15" s="459">
        <f>IF(ISNUMBER(NºAsuntos!I15/NºAsuntos!G15),NºAsuntos!I15/NºAsuntos!G15," - ")</f>
        <v>0.74151601649222965</v>
      </c>
      <c r="D15" s="460">
        <f>IF(ISNUMBER('Resol  Asuntos'!D15/NºAsuntos!G15),'Resol  Asuntos'!D15/NºAsuntos!G15," - ")</f>
        <v>0.10941960038058991</v>
      </c>
      <c r="E15" s="461">
        <f>IF(ISNUMBER((NºAsuntos!C15+NºAsuntos!E15)/NºAsuntos!G15),(NºAsuntos!C15+NºAsuntos!E15)/NºAsuntos!G15," - ")</f>
        <v>1.7177291468442752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14</v>
      </c>
      <c r="D17" s="460">
        <f>IF(ISNUMBER('Resol  Asuntos'!D17/NºAsuntos!G17),'Resol  Asuntos'!D17/NºAsuntos!G17," - ")</f>
        <v>0</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0.97890818858560791</v>
      </c>
      <c r="C18" s="1005">
        <f>IF(ISNUMBER(NºAsuntos!I18/NºAsuntos!G18),NºAsuntos!I18/NºAsuntos!G18," - ")</f>
        <v>0.75728770595690753</v>
      </c>
      <c r="D18" s="1008">
        <f>IF(ISNUMBER('Resol  Asuntos'!D18/NºAsuntos!G18),'Resol  Asuntos'!D18/NºAsuntos!G18," - ")</f>
        <v>0.10931558935361217</v>
      </c>
      <c r="E18" s="1007">
        <f>IF(ISNUMBER((NºAsuntos!C18+NºAsuntos!E18)/NºAsuntos!G18),(NºAsuntos!C18+NºAsuntos!E18)/NºAsuntos!G18," - ")</f>
        <v>1.7335234474017744</v>
      </c>
      <c r="G18" s="479"/>
    </row>
    <row r="19" spans="1:7" ht="15.75" customHeight="1" thickTop="1" thickBot="1">
      <c r="A19" s="939" t="str">
        <f>Datos!A19</f>
        <v>TOTAL JURISDICCIONES</v>
      </c>
      <c r="B19" s="954">
        <f>IF(ISNUMBER(NºAsuntos!G19/NºAsuntos!E19),NºAsuntos!G19/NºAsuntos!E19," - ")</f>
        <v>0.90379637618636754</v>
      </c>
      <c r="C19" s="955">
        <f>IF(ISNUMBER(NºAsuntos!I19/NºAsuntos!G19),NºAsuntos!I19/NºAsuntos!G19," - ")</f>
        <v>2.0793953858392999</v>
      </c>
      <c r="D19" s="956">
        <f>IF(ISNUMBER('Resol  Asuntos'!D19/NºAsuntos!G19),'Resol  Asuntos'!D19/NºAsuntos!G19," - ")</f>
        <v>0.21097852028639619</v>
      </c>
      <c r="E19" s="957">
        <f>IF(ISNUMBER((NºAsuntos!C19+NºAsuntos!E19)/NºAsuntos!G19),(NºAsuntos!C19+NºAsuntos!E19)/NºAsuntos!G19," - ")</f>
        <v>3.0674622116149561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HUsbuJRywrUYH7GRMh8wDJjpICqIe231DuWiekCeUdO+hGX159vau4EdcrwpQTr8C61LiAySo+TvBWS+v3lbA==" saltValue="tRp1Gj0Jtap3ukxc+xyb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 CRISTOBAL DE LA LAGUNA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642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747</v>
      </c>
      <c r="Y9" s="343">
        <f>SUM(W9:X9)</f>
        <v>747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9403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979</v>
      </c>
      <c r="AJ9" s="233" t="str">
        <f>IF(ISNUMBER(Datos!BW9),Datos!BW9," - ")</f>
        <v xml:space="preserve"> - </v>
      </c>
      <c r="AK9" s="232" t="str">
        <f>IF(ISNUMBER(Datos!BX9),Datos!BX9," - ")</f>
        <v xml:space="preserve"> - </v>
      </c>
      <c r="AL9" s="247">
        <f>IF(ISNUMBER(NºAsuntos!G9/NºAsuntos!E9),NºAsuntos!G9/NºAsuntos!E9," - ")</f>
        <v>0.83799032778076299</v>
      </c>
      <c r="AM9" s="264">
        <f>IF(ISNUMBER(((NºAsuntos!I9/NºAsuntos!G9)*11)/factor_trimestre),((NºAsuntos!I9/NºAsuntos!G9)*11)/factor_trimestre," - ")</f>
        <v>6.8380891311317731</v>
      </c>
      <c r="AN9" s="248">
        <f>IF(ISNUMBER('Resol  Asuntos'!D9/NºAsuntos!G9),'Resol  Asuntos'!D9/NºAsuntos!G9," - ")</f>
        <v>0.31388265469701826</v>
      </c>
      <c r="AO9" s="249">
        <f>IF(ISNUMBER((NºAsuntos!C9+NºAsuntos!E9)/NºAsuntos!G9),(NºAsuntos!C9+NºAsuntos!E9)/NºAsuntos!G9," - ")</f>
        <v>4.4190445655658861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15</v>
      </c>
      <c r="AB10" s="343">
        <f>IF(ISNUMBER(Datos!R10),Datos!R10," - ")</f>
        <v>69</v>
      </c>
      <c r="AC10" s="343">
        <f t="shared" ref="AC10:AC12" si="1">IF(ISNUMBER(AA10+AB10),AA10+AB10," - ")</f>
        <v>84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1.25</v>
      </c>
      <c r="AM10" s="264">
        <f>IF(ISNUMBER(((NºAsuntos!I10/NºAsuntos!G10)*11)/factor_trimestre),((NºAsuntos!I10/NºAsuntos!G10)*11)/factor_trimestre," - ")</f>
        <v>3</v>
      </c>
      <c r="AN10" s="248">
        <f>IF(ISNUMBER('Resol  Asuntos'!D10/NºAsuntos!G10),'Resol  Asuntos'!D10/NºAsuntos!G10," - ")</f>
        <v>0.2</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17</v>
      </c>
      <c r="G13" s="1012">
        <f t="shared" si="3"/>
        <v>17</v>
      </c>
      <c r="H13" s="1011">
        <f t="shared" si="3"/>
        <v>0</v>
      </c>
      <c r="I13" s="1013">
        <f t="shared" si="3"/>
        <v>0</v>
      </c>
      <c r="J13" s="1013">
        <f t="shared" si="3"/>
        <v>0</v>
      </c>
      <c r="K13" s="1013">
        <f t="shared" si="3"/>
        <v>0</v>
      </c>
      <c r="L13" s="1013">
        <f t="shared" si="3"/>
        <v>646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747</v>
      </c>
      <c r="Y13" s="1014">
        <f t="shared" si="4"/>
        <v>757</v>
      </c>
      <c r="Z13" s="1014">
        <f t="shared" si="4"/>
        <v>0</v>
      </c>
      <c r="AA13" s="1014">
        <f t="shared" si="4"/>
        <v>15</v>
      </c>
      <c r="AB13" s="1014">
        <f t="shared" si="4"/>
        <v>9472</v>
      </c>
      <c r="AC13" s="1014">
        <f t="shared" si="4"/>
        <v>84</v>
      </c>
      <c r="AD13" s="1014">
        <f t="shared" si="4"/>
        <v>0</v>
      </c>
      <c r="AE13" s="1018">
        <f t="shared" si="4"/>
        <v>0</v>
      </c>
      <c r="AF13" s="1011">
        <f t="shared" si="4"/>
        <v>0</v>
      </c>
      <c r="AG13" s="1019">
        <f t="shared" si="4"/>
        <v>0</v>
      </c>
      <c r="AH13" s="1016">
        <f t="shared" si="4"/>
        <v>0</v>
      </c>
      <c r="AI13" s="1011">
        <f t="shared" si="4"/>
        <v>981</v>
      </c>
      <c r="AJ13" s="1013">
        <f t="shared" si="4"/>
        <v>0</v>
      </c>
      <c r="AK13" s="1016">
        <f>SUBTOTAL(9,AK9:AK12)</f>
        <v>0</v>
      </c>
      <c r="AL13" s="1020">
        <f>IF(ISNUMBER(NºAsuntos!G13/NºAsuntos!E13),NºAsuntos!G13/NºAsuntos!E13," - ")</f>
        <v>0.83887399463806966</v>
      </c>
      <c r="AM13" s="1020">
        <f>IF(ISNUMBER(((NºAsuntos!I13/NºAsuntos!G13)*11)/factor_trimestre),((NºAsuntos!I13/NºAsuntos!G13)*11)/factor_trimestre," - ")</f>
        <v>6.8258229466283158</v>
      </c>
      <c r="AN13" s="1021">
        <f>IF(ISNUMBER('Resol  Asuntos'!D13/NºAsuntos!G13),'Resol  Asuntos'!D13/NºAsuntos!G13," - ")</f>
        <v>0.31351869606903165</v>
      </c>
      <c r="AO13" s="1022">
        <f>IF(ISNUMBER((NºAsuntos!C13+NºAsuntos!E13)/NºAsuntos!G13),(NºAsuntos!C13+NºAsuntos!E13)/NºAsuntos!G13," - ")</f>
        <v>4.4129114733141579</v>
      </c>
      <c r="AP13" s="1023" t="str">
        <f t="shared" si="2"/>
        <v xml:space="preserve"> - </v>
      </c>
      <c r="AQ13" s="1023">
        <f>IF(ISNUMBER((H13-W13+K13)/(F13)),(H13-W13+K13)/(F13)," - ")</f>
        <v>-0.58823529411764708</v>
      </c>
      <c r="AR13" s="1024">
        <f>IF(ISNUMBER((Datos!P13-Datos!Q13)/(Datos!R13-Datos!P13+Datos!Q13)),(Datos!P13-Datos!Q13)/(Datos!R13-Datos!P13+Datos!Q13)," - ")</f>
        <v>-1.055050663323932E-2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2267</v>
      </c>
      <c r="G15" s="342">
        <f>IF(ISNUMBER(IF(D_I="SI",Datos!I15,Datos!I15+Datos!AC15)),IF(D_I="SI",Datos!I15,Datos!I15+Datos!AC15)," - ")</f>
        <v>2192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3153</v>
      </c>
      <c r="X15" s="230">
        <f>IF(ISNUMBER(Datos!Q15),Datos!Q15," - ")</f>
        <v>162</v>
      </c>
      <c r="Y15" s="343">
        <f>SUM(W15)</f>
        <v>3153</v>
      </c>
      <c r="Z15" s="344" t="str">
        <f>IF(ISNUMBER(Datos!CC15),Datos!CC15," - ")</f>
        <v xml:space="preserve"> - </v>
      </c>
      <c r="AA15" s="341">
        <f>IF(ISNUMBER(IF(D_I="SI",Datos!L15,Datos!L15+Datos!AF15)),IF(D_I="SI",Datos!L15,Datos!L15+Datos!AF15)," - ")</f>
        <v>2338</v>
      </c>
      <c r="AB15" s="343">
        <f>IF(ISNUMBER(Datos!R15),Datos!R15," - ")</f>
        <v>437</v>
      </c>
      <c r="AC15" s="343">
        <f t="shared" ref="AC15:AC17" si="6">IF(ISNUMBER(AA15+AB15),AA15+AB15," - ")</f>
        <v>2775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345</v>
      </c>
      <c r="AJ15" s="235" t="str">
        <f>IF(ISNUMBER(Datos!BW15),Datos!BW15," - ")</f>
        <v xml:space="preserve"> - </v>
      </c>
      <c r="AK15" s="236" t="str">
        <f>IF(ISNUMBER(Datos!BX15),Datos!BX15," - ")</f>
        <v xml:space="preserve"> - </v>
      </c>
      <c r="AL15" s="247">
        <f>IF(ISNUMBER(NºAsuntos!G15/NºAsuntos!E15),NºAsuntos!G15/NºAsuntos!E15," - ")</f>
        <v>0.97797766749379655</v>
      </c>
      <c r="AM15" s="264">
        <f>IF(ISNUMBER(((NºAsuntos!I15/NºAsuntos!G15)*11)/factor_trimestre),((NºAsuntos!I15/NºAsuntos!G15)*11)/factor_trimestre," - ")</f>
        <v>1.4830320329844591</v>
      </c>
      <c r="AN15" s="248">
        <f>IF(ISNUMBER('Resol  Asuntos'!D15/NºAsuntos!G15),'Resol  Asuntos'!D15/NºAsuntos!G15," - ")</f>
        <v>0.10941960038058991</v>
      </c>
      <c r="AO15" s="249">
        <f>IF(ISNUMBER((NºAsuntos!C15+NºAsuntos!E15)/NºAsuntos!G15),(NºAsuntos!C15+NºAsuntos!E15)/NºAsuntos!G15," - ")</f>
        <v>1.7177291468442752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10</v>
      </c>
      <c r="G16" s="342">
        <f>IF(ISNUMBER(IF(D_I="SI",Datos!I16,Datos!I16+Datos!AC16)),IF(D_I="SI",Datos!I16,Datos!I16+Datos!AC16)," - ")</f>
        <v>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10</v>
      </c>
      <c r="AB16" s="343">
        <f>IF(ISNUMBER(Datos!R16),Datos!R16," - ")</f>
        <v>0</v>
      </c>
      <c r="AC16" s="343">
        <f t="shared" si="6"/>
        <v>10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4</v>
      </c>
      <c r="Y17" s="343">
        <f t="shared" si="7"/>
        <v>7</v>
      </c>
      <c r="Z17" s="344" t="str">
        <f>IF(ISNUMBER(Datos!CC17),Datos!CC17," - ")</f>
        <v xml:space="preserve"> - </v>
      </c>
      <c r="AA17" s="341">
        <f>IF(ISNUMBER(Datos!L17),Datos!L17,"-")</f>
        <v>42</v>
      </c>
      <c r="AB17" s="343">
        <f>IF(ISNUMBER(Datos!R17),Datos!R17," - ")</f>
        <v>12</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28</v>
      </c>
      <c r="AN17" s="248">
        <f>IF(ISNUMBER('Resol  Asuntos'!D17/NºAsuntos!G17),'Resol  Asuntos'!D17/NºAsuntos!G17," - ")</f>
        <v>0</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2277</v>
      </c>
      <c r="G18" s="1012">
        <f>SUBTOTAL(9,G15:G17)</f>
        <v>2247</v>
      </c>
      <c r="H18" s="1011">
        <f t="shared" ref="H18:O18" si="10">SUBTOTAL(9,H14:H17)</f>
        <v>0</v>
      </c>
      <c r="I18" s="1013">
        <f t="shared" si="10"/>
        <v>0</v>
      </c>
      <c r="J18" s="1013">
        <f t="shared" si="10"/>
        <v>0</v>
      </c>
      <c r="K18" s="1013">
        <f t="shared" si="10"/>
        <v>0</v>
      </c>
      <c r="L18" s="1013">
        <f t="shared" si="10"/>
        <v>119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3156</v>
      </c>
      <c r="X18" s="1013">
        <f t="shared" si="11"/>
        <v>166</v>
      </c>
      <c r="Y18" s="1014">
        <f t="shared" si="11"/>
        <v>3160</v>
      </c>
      <c r="Z18" s="1014">
        <f t="shared" si="11"/>
        <v>0</v>
      </c>
      <c r="AA18" s="1014">
        <f t="shared" si="11"/>
        <v>2390</v>
      </c>
      <c r="AB18" s="1014">
        <f t="shared" si="11"/>
        <v>449</v>
      </c>
      <c r="AC18" s="1014">
        <f t="shared" si="11"/>
        <v>2839</v>
      </c>
      <c r="AD18" s="1014">
        <f t="shared" si="11"/>
        <v>0</v>
      </c>
      <c r="AE18" s="1018">
        <f t="shared" si="11"/>
        <v>0</v>
      </c>
      <c r="AF18" s="1011">
        <f t="shared" si="11"/>
        <v>0</v>
      </c>
      <c r="AG18" s="1019">
        <f t="shared" si="11"/>
        <v>0</v>
      </c>
      <c r="AH18" s="1016">
        <f t="shared" si="11"/>
        <v>0</v>
      </c>
      <c r="AI18" s="1011">
        <f t="shared" si="11"/>
        <v>345</v>
      </c>
      <c r="AJ18" s="1013">
        <f t="shared" si="11"/>
        <v>0</v>
      </c>
      <c r="AK18" s="1016">
        <f t="shared" si="11"/>
        <v>0</v>
      </c>
      <c r="AL18" s="1020">
        <f>IF(ISNUMBER(NºAsuntos!G18/NºAsuntos!E18),NºAsuntos!G18/NºAsuntos!E18," - ")</f>
        <v>0.97890818858560791</v>
      </c>
      <c r="AM18" s="1020">
        <f>IF(ISNUMBER(((NºAsuntos!I18/NºAsuntos!G18)*11)/factor_trimestre),((NºAsuntos!I18/NºAsuntos!G18)*11)/factor_trimestre," - ")</f>
        <v>1.5145754119138148</v>
      </c>
      <c r="AN18" s="1021">
        <f>IF(ISNUMBER('Resol  Asuntos'!D18/NºAsuntos!G18),'Resol  Asuntos'!D18/NºAsuntos!G18," - ")</f>
        <v>0.10931558935361217</v>
      </c>
      <c r="AO18" s="1022">
        <f>IF(ISNUMBER((NºAsuntos!C18+NºAsuntos!E18)/NºAsuntos!G18),(NºAsuntos!C18+NºAsuntos!E18)/NºAsuntos!G18," - ")</f>
        <v>1.7335234474017744</v>
      </c>
      <c r="AP18" s="1023" t="str">
        <f t="shared" si="2"/>
        <v xml:space="preserve"> - </v>
      </c>
      <c r="AQ18" s="1023">
        <f>IF(ISNUMBER((H18-W18+K18)/(F18)),(H18-W18+K18)/(F18)," - ")</f>
        <v>-1.3860342555994729</v>
      </c>
      <c r="AR18" s="1024">
        <f>IF(ISNUMBER((Datos!P18-Datos!Q18)/(Datos!R18-Datos!P18+Datos!Q18)),(Datos!P18-Datos!Q18)/(Datos!R18-Datos!P18+Datos!Q18)," - ")</f>
        <v>-9.4758064516129031E-2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2294</v>
      </c>
      <c r="G19" s="967">
        <f t="shared" si="13"/>
        <v>2264</v>
      </c>
      <c r="H19" s="966">
        <f t="shared" si="13"/>
        <v>0</v>
      </c>
      <c r="I19" s="968">
        <f t="shared" si="13"/>
        <v>0</v>
      </c>
      <c r="J19" s="968">
        <f t="shared" si="13"/>
        <v>0</v>
      </c>
      <c r="K19" s="1027">
        <f t="shared" si="13"/>
        <v>0</v>
      </c>
      <c r="L19" s="968">
        <f t="shared" si="13"/>
        <v>765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3166</v>
      </c>
      <c r="X19" s="967">
        <f t="shared" si="14"/>
        <v>913</v>
      </c>
      <c r="Y19" s="974">
        <f t="shared" si="14"/>
        <v>3917</v>
      </c>
      <c r="Z19" s="974">
        <f t="shared" si="14"/>
        <v>0</v>
      </c>
      <c r="AA19" s="974">
        <f t="shared" si="14"/>
        <v>2405</v>
      </c>
      <c r="AB19" s="974">
        <f t="shared" si="14"/>
        <v>9921</v>
      </c>
      <c r="AC19" s="974">
        <f t="shared" si="14"/>
        <v>2923</v>
      </c>
      <c r="AD19" s="974">
        <f t="shared" si="14"/>
        <v>0</v>
      </c>
      <c r="AE19" s="976">
        <f t="shared" si="14"/>
        <v>0</v>
      </c>
      <c r="AF19" s="977">
        <f t="shared" si="14"/>
        <v>0</v>
      </c>
      <c r="AG19" s="978">
        <f t="shared" si="14"/>
        <v>0</v>
      </c>
      <c r="AH19" s="976">
        <f t="shared" si="14"/>
        <v>0</v>
      </c>
      <c r="AI19" s="966">
        <f t="shared" si="14"/>
        <v>1326</v>
      </c>
      <c r="AJ19" s="966">
        <f t="shared" si="14"/>
        <v>0</v>
      </c>
      <c r="AK19" s="976">
        <f t="shared" si="14"/>
        <v>0</v>
      </c>
      <c r="AL19" s="1030">
        <f>IF(ISNUMBER(NºAsuntos!G19/NºAsuntos!E19),NºAsuntos!G19/NºAsuntos!E19," - ")</f>
        <v>0.90379637618636754</v>
      </c>
      <c r="AM19" s="1031">
        <f>IF(ISNUMBER(((NºAsuntos!I19/NºAsuntos!G19)*11)/factor_trimestre),((NºAsuntos!I19/NºAsuntos!G19)*11)/factor_trimestre," - ")</f>
        <v>4.1587907716785999</v>
      </c>
      <c r="AN19" s="1031">
        <f>IF(ISNUMBER('Resol  Asuntos'!D19/NºAsuntos!G19),'Resol  Asuntos'!D19/NºAsuntos!G19," - ")</f>
        <v>0.21097852028639619</v>
      </c>
      <c r="AO19" s="1032">
        <f>IF(ISNUMBER((NºAsuntos!C19+NºAsuntos!E19)/NºAsuntos!G19),(NºAsuntos!C19+NºAsuntos!E19)/NºAsuntos!G19," - ")</f>
        <v>3.0674622116149561</v>
      </c>
      <c r="AP19" s="1033" t="str">
        <f t="shared" si="2"/>
        <v xml:space="preserve"> - </v>
      </c>
      <c r="AQ19" s="1034">
        <f>IF(OR(ISNUMBER(FIND("01",Criterios!A8,1)),ISNUMBER(FIND("02",Criterios!A8,1)),ISNUMBER(FIND("03",Criterios!A8,1)),ISNUMBER(FIND("04",Criterios!A8,1))),(I19-W19+K19)/(F19-K19),(H19-W19+K19)/(F19-K19))</f>
        <v>-1.3801220575414124</v>
      </c>
      <c r="AR19" s="1035">
        <f>IF(ISNUMBER((Datos!P19-Datos!Q19)/(Datos!R19-Datos!P19+Datos!Q19)),(Datos!P19-Datos!Q19)/(Datos!R19-Datos!P19+Datos!Q19)," - ")</f>
        <v>-1.4698579799384248E-2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754.66666666666663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3.0867098629086893</v>
      </c>
      <c r="F21" s="256">
        <f>IF(ISNUMBER(STDEV(F8:F18)),STDEV(F8:F18),"-")</f>
        <v>1236.4007440955379</v>
      </c>
      <c r="G21" s="257">
        <f>IF(ISNUMBER(STDEV(G8:G18)),STDEV(G8:G18),"-")</f>
        <v>1134.8520020983647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1626.0125050769648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438.58234824315059</v>
      </c>
      <c r="AJ21" s="256">
        <f t="shared" si="18"/>
        <v>0</v>
      </c>
      <c r="AK21" s="258">
        <f t="shared" si="18"/>
        <v>0</v>
      </c>
      <c r="AL21" s="253">
        <f t="shared" si="18"/>
        <v>0.16802958588771849</v>
      </c>
      <c r="AM21" s="254">
        <f t="shared" si="18"/>
        <v>10.121672167698327</v>
      </c>
      <c r="AN21" s="254">
        <f t="shared" si="18"/>
        <v>0.12517073446511084</v>
      </c>
      <c r="AO21" s="255">
        <f t="shared" si="18"/>
        <v>5.0669028033764851</v>
      </c>
      <c r="AP21" s="295" t="str">
        <f t="shared" si="18"/>
        <v>-</v>
      </c>
      <c r="AQ21" s="296">
        <f t="shared" si="18"/>
        <v>0.56412905568738425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HnVy/oFi9HPHHMv/6l84enqJoZPwE8rcKklZ7WDKjVVU4Pp2cvnQ3vuHHY2LAozs7Wq7y/KuZLmKEYMurbZDg==" saltValue="ZsCPvFgq4yLgSlf+ik2d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 CRISTOBAL DE LA LAGUNA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-6.1361457334611694E-2</v>
      </c>
      <c r="I9" s="359">
        <f>IF(ISNUMBER((Tasas!C9-Datos!BE9)/Datos!BE9),(Tasas!C9-Datos!BE9)/Datos!BE9," - ")</f>
        <v>0.15944315339601156</v>
      </c>
      <c r="J9" s="358">
        <f>IF(ISNUMBER((Tasas!D9-Datos!BF9)/Datos!BF9),(Tasas!D9-Datos!BF9)/Datos!BF9," - ")</f>
        <v>-2.4505438637416565E-2</v>
      </c>
      <c r="K9" s="360">
        <f>IF(ISNUMBER((Tasas!E9-Datos!BG9)/Datos!BG9),(Tasas!E9-Datos!BG9)/Datos!BG9," - ")</f>
        <v>0.11906622461333667</v>
      </c>
      <c r="M9" t="e">
        <f>IF(Monitorios="SI",Datos!CE9,0)</f>
        <v>#REF!</v>
      </c>
      <c r="N9" t="e">
        <f>IF(Monitorios="SI",Datos!CF9,0)</f>
        <v>#REF!</v>
      </c>
      <c r="O9" t="e">
        <f>IF(Monitorios="SI",Datos!CG9,0)</f>
        <v>#REF!</v>
      </c>
      <c r="P9" t="e">
        <f>IF(Monitorios="SI",Datos!CH9,0)</f>
        <v>#REF!</v>
      </c>
      <c r="Q9">
        <f>IF(J_V="SI",0,Datos!AG9)</f>
        <v>118</v>
      </c>
      <c r="R9">
        <f>IF(J_V="SI",0,Datos!AH9)</f>
        <v>170</v>
      </c>
      <c r="S9">
        <f>IF(J_V="SI",0,Datos!AI9)</f>
        <v>173</v>
      </c>
      <c r="T9">
        <f>IF(J_V="SI",0,Datos!AJ9)</f>
        <v>115</v>
      </c>
    </row>
    <row r="10" spans="2:20" ht="14.25">
      <c r="B10" s="279" t="s">
        <v>249</v>
      </c>
      <c r="C10" s="7" t="str">
        <f>Datos!A10</f>
        <v>Jdos. Violencia contra la mujer</v>
      </c>
      <c r="D10" s="361">
        <f>IF(ISNUMBER((Datos!I10-Datos!S10)/Datos!S10),(Datos!I10-Datos!S10)/Datos!S10," - ")</f>
        <v>-0.66</v>
      </c>
      <c r="E10" s="357">
        <f>IF(ISNUMBER((Datos!J10-Datos!T10)/Datos!T10),(Datos!J10-Datos!T10)/Datos!T10," - ")</f>
        <v>-0.38461538461538464</v>
      </c>
      <c r="F10" s="357">
        <f>IF(ISNUMBER((Datos!K10-Datos!U10)/Datos!U10),(Datos!K10-Datos!U10)/Datos!U10," - ")</f>
        <v>-0.61538461538461542</v>
      </c>
      <c r="G10" s="358">
        <f>IF(ISNUMBER((Datos!L10-Datos!V10)/Datos!V10),(Datos!L10-Datos!V10)/Datos!V10," - ")</f>
        <v>-0.59459459459459463</v>
      </c>
      <c r="H10" s="234">
        <f>IF(ISNUMBER((Datos!M10-Datos!W10)/Datos!W10),(Datos!M10-Datos!W10)/Datos!W10," - ")</f>
        <v>-0.89473684210526316</v>
      </c>
      <c r="I10" s="359">
        <f>IF(ISNUMBER((Tasas!C10-Datos!BE10)/Datos!BE10),(Tasas!C10-Datos!BE10)/Datos!BE10," - ")</f>
        <v>5.4054054054054015E-2</v>
      </c>
      <c r="J10" s="358">
        <f>IF(ISNUMBER((Tasas!D10-Datos!BF10)/Datos!BF10),(Tasas!D10-Datos!BF10)/Datos!BF10," - ")</f>
        <v>-0.72631578947368414</v>
      </c>
      <c r="K10" s="360">
        <f>IF(ISNUMBER((Tasas!E10-Datos!BG10)/Datos!BG10),(Tasas!E10-Datos!BG10)/Datos!BG10," - ")</f>
        <v>3.1746031746031821E-2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-7.6271186440677971E-2</v>
      </c>
      <c r="I13" s="366">
        <f>IF(ISNUMBER((Tasas!C13-Datos!BE13)/Datos!BE13),(Tasas!C13-Datos!BE13)/Datos!BE13," - ")</f>
        <v>0.16302395663177563</v>
      </c>
      <c r="J13" s="364">
        <f>IF(ISNUMBER((Tasas!D13-Datos!BF13)/Datos!BF13),(Tasas!D13-Datos!BF13)/Datos!BF13," - ")</f>
        <v>-3.7149248961329408E-2</v>
      </c>
      <c r="K13" s="367">
        <f>IF(ISNUMBER((Tasas!E13-Datos!BG13)/Datos!BG13),(Tasas!E13-Datos!BG13)/Datos!BG13," - ")</f>
        <v>0.12158963790715697</v>
      </c>
      <c r="M13" t="e">
        <f>IF(Monitorios="SI",Datos!CE13,0)</f>
        <v>#REF!</v>
      </c>
      <c r="N13" t="e">
        <f>IF(Monitorios="SI",Datos!CF13,0)</f>
        <v>#REF!</v>
      </c>
      <c r="O13" t="e">
        <f>IF(Monitorios="SI",Datos!CG13,0)</f>
        <v>#REF!</v>
      </c>
      <c r="P13" t="e">
        <f>IF(Monitorios="SI",Datos!CH13,0)</f>
        <v>#REF!</v>
      </c>
      <c r="Q13">
        <f>IF(J_V="SI",0,Datos!AG13)</f>
        <v>118</v>
      </c>
      <c r="R13">
        <f>IF(J_V="SI",0,Datos!AH13)</f>
        <v>170</v>
      </c>
      <c r="S13">
        <f>IF(J_V="SI",0,Datos!AI13)</f>
        <v>173</v>
      </c>
      <c r="T13">
        <f>IF(J_V="SI",0,Datos!AJ13)</f>
        <v>115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0.34892307692307695</v>
      </c>
      <c r="E15" s="357">
        <f>IF(ISNUMBER(
   IF(D_I="SI",(Datos!J15-Datos!T15)/Datos!T15,(Datos!J15+Datos!AD15-(Datos!T15+Datos!AL15))/(Datos!T15+Datos!AL15))
     ),IF(D_I="SI",(Datos!J15-Datos!T15)/Datos!T15,(Datos!J15+Datos!AD15-(Datos!T15+Datos!AL15))/(Datos!T15+Datos!AL15))," - ")</f>
        <v>9.0294217111937775E-2</v>
      </c>
      <c r="F15" s="357">
        <f>IF(ISNUMBER(
   IF(D_I="SI",(Datos!K15-Datos!U15)/Datos!U15,(Datos!K15+Datos!AE15-(Datos!U15+Datos!AM15))/(Datos!U15+Datos!AM15))
     ),IF(D_I="SI",(Datos!K15-Datos!U15)/Datos!U15,(Datos!K15+Datos!AE15-(Datos!U15+Datos!AM15))/(Datos!U15+Datos!AM15))," - ")</f>
        <v>0.12206405693950179</v>
      </c>
      <c r="G15" s="358">
        <f>IF(ISNUMBER(
   IF(D_I="SI",(Datos!L15-Datos!V15)/Datos!V15,(Datos!L15+Datos!AF15-(Datos!V15+Datos!AN15))/(Datos!V15+Datos!AN15))
     ),IF(D_I="SI",(Datos!L15-Datos!V15)/Datos!V15,(Datos!L15+Datos!AF15-(Datos!V15+Datos!AN15))/(Datos!V15+Datos!AN15))," - ")</f>
        <v>0.27969348659003829</v>
      </c>
      <c r="H15" s="234">
        <f>IF(ISNUMBER((Datos!M15-Datos!W15)/Datos!W15),(Datos!M15-Datos!W15)/Datos!W15," - ")</f>
        <v>-0.10621761658031088</v>
      </c>
      <c r="I15" s="359">
        <f>IF(ISNUMBER((Tasas!C15-Datos!BE15)/Datos!BE15),(Tasas!C15-Datos!BE15)/Datos!BE15," - ")</f>
        <v>0.14048166740184198</v>
      </c>
      <c r="J15" s="358">
        <f>IF(ISNUMBER((Tasas!D15-Datos!BF15)/Datos!BF15),(Tasas!D15-Datos!BF15)/Datos!BF15," - ")</f>
        <v>-0.20344798686668999</v>
      </c>
      <c r="K15" s="360">
        <f>IF(ISNUMBER((Tasas!E15-Datos!BG15)/Datos!BG15),(Tasas!E15-Datos!BG15)/Datos!BG15," - ")</f>
        <v>5.3430576742124272E-2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-0.98285714285714287</v>
      </c>
      <c r="G17" s="358">
        <f>IF(ISNUMBER(
   IF(D_I="SI",(Datos!L17-Datos!V17)/Datos!V17,(Datos!L17+Datos!AF17-(Datos!V17+Datos!AN17))/(Datos!V17+Datos!AN17))
     ),IF(D_I="SI",(Datos!L17-Datos!V17)/Datos!V17,(Datos!L17+Datos!AF17-(Datos!V17+Datos!AN17))/(Datos!V17+Datos!AN17))," - ")</f>
        <v>-0.3</v>
      </c>
      <c r="H17" s="234">
        <f>IF(ISNUMBER((Datos!M17-Datos!W17)/Datos!W17),(Datos!M17-Datos!W17)/Datos!W17," - ")</f>
        <v>-1</v>
      </c>
      <c r="I17" s="359">
        <f>IF(ISNUMBER((Tasas!C17-Datos!BE17)/Datos!BE17),(Tasas!C17-Datos!BE17)/Datos!BE17," - ")</f>
        <v>39.833333333333329</v>
      </c>
      <c r="J17" s="358">
        <f>IF(ISNUMBER((Tasas!D17-Datos!BF17)/Datos!BF17),(Tasas!D17-Datos!BF17)/Datos!BF17," - ")</f>
        <v>-1</v>
      </c>
      <c r="K17" s="360">
        <f>IF(ISNUMBER((Tasas!E17-Datos!BG17)/Datos!BG17),(Tasas!E17-Datos!BG17)/Datos!BG17," - ")</f>
        <v>10.413043478260869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0.32958579881656802</v>
      </c>
      <c r="E18" s="363">
        <f>IF(ISNUMBER(
   IF(D_I="SI",(Datos!J18-Datos!T18)/Datos!T18,(Datos!J18+Datos!AD18-(Datos!T18+Datos!AL18))/(Datos!T18+Datos!AL18))
     ),IF(D_I="SI",(Datos!J18-Datos!T18)/Datos!T18,(Datos!J18+Datos!AD18-(Datos!T18+Datos!AL18))/(Datos!T18+Datos!AL18))," - ")</f>
        <v>2.9374201787994891E-2</v>
      </c>
      <c r="F18" s="363">
        <f>IF(ISNUMBER(
   IF(D_I="SI",(Datos!K18-Datos!U18)/Datos!U18,(Datos!K18+Datos!AE18-(Datos!U18+Datos!AM18))/(Datos!U18+Datos!AM18))
     ),IF(D_I="SI",(Datos!K18-Datos!U18)/Datos!U18,(Datos!K18+Datos!AE18-(Datos!U18+Datos!AM18))/(Datos!U18+Datos!AM18))," - ")</f>
        <v>5.7286432160804021E-2</v>
      </c>
      <c r="G18" s="364">
        <f>IF(ISNUMBER(
   IF(D_I="SI",(Datos!L18-Datos!V18)/Datos!V18,(Datos!L18+Datos!AF18-(Datos!V18+Datos!AN18))/(Datos!V18+Datos!AN18))
     ),IF(D_I="SI",(Datos!L18-Datos!V18)/Datos!V18,(Datos!L18+Datos!AF18-(Datos!V18+Datos!AN18))/(Datos!V18+Datos!AN18))," - ")</f>
        <v>0.25988402741170269</v>
      </c>
      <c r="H18" s="365">
        <f>IF(ISNUMBER((Datos!M18-Datos!W18)/Datos!W18),(Datos!M18-Datos!W18)/Datos!W18," - ")</f>
        <v>-0.21052631578947367</v>
      </c>
      <c r="I18" s="366">
        <f>IF(ISNUMBER((Tasas!C18-Datos!BE18)/Datos!BE18),(Tasas!C18-Datos!BE18)/Datos!BE18," - ")</f>
        <v>0.19162034912038423</v>
      </c>
      <c r="J18" s="364">
        <f>IF(ISNUMBER((Tasas!D18-Datos!BF18)/Datos!BF18),(Tasas!D18-Datos!BF18)/Datos!BF18," - ")</f>
        <v>-0.25330198118871322</v>
      </c>
      <c r="K18" s="367">
        <f>IF(ISNUMBER((Tasas!E18-Datos!BG18)/Datos!BG18),(Tasas!E18-Datos!BG18)/Datos!BG18," - ")</f>
        <v>7.3116443486996377E-2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0.27271788517141676</v>
      </c>
      <c r="E19" s="372">
        <f>IF(ISNUMBER(
   IF(J_V="SI",(Datos!J19-Datos!T19)/Datos!T19,(Datos!J19+Datos!Z19-(Datos!T19+Datos!AH19))/(Datos!T19+Datos!AH19))
     ),IF(J_V="SI",(Datos!J19-Datos!T19)/Datos!T19,(Datos!J19+Datos!Z19-(Datos!T19+Datos!AH19))/(Datos!T19+Datos!AH19))," - ")</f>
        <v>0.15649426243139863</v>
      </c>
      <c r="F19" s="372">
        <f>IF(ISNUMBER(
   IF(J_V="SI",(Datos!K19-Datos!U19)/Datos!U19,(Datos!K19+Datos!AA19-(Datos!U19+Datos!AI19))/(Datos!U19+Datos!AI19))
     ),IF(J_V="SI",(Datos!K19-Datos!U19)/Datos!U19,(Datos!K19+Datos!AA19-(Datos!U19+Datos!AI19))/(Datos!U19+Datos!AI19))," - ")</f>
        <v>9.3233605844494694E-2</v>
      </c>
      <c r="G19" s="373">
        <f>IF(ISNUMBER(
   IF(J_V="SI",(Datos!L19-Datos!V19)/Datos!V19,(Datos!L19+Datos!AB19-(Datos!V19+Datos!AJ19))/(Datos!V19+Datos!AJ19))
     ),IF(J_V="SI",(Datos!L19-Datos!V19)/Datos!V19,(Datos!L19+Datos!AB19-(Datos!V19+Datos!AJ19))/(Datos!V19+Datos!AJ19))," - ")</f>
        <v>0.3058553157474021</v>
      </c>
      <c r="H19" s="374">
        <f>IF(ISNUMBER((Datos!M19-Datos!W19)/Datos!W19),(Datos!M19-Datos!W19)/Datos!W19," - ")</f>
        <v>-0.11541027351567712</v>
      </c>
      <c r="I19" s="371">
        <f>IF(ISNUMBER((Tasas!C19-Datos!BE19)/Datos!BE19),(Tasas!C19-Datos!BE19)/Datos!BE19," - ")</f>
        <v>0.1944888162660007</v>
      </c>
      <c r="J19" s="372">
        <f>IF(ISNUMBER((Tasas!D19-Datos!BF19)/Datos!BF19),(Tasas!D19-Datos!BF19)/Datos!BF19," - ")</f>
        <v>-9.2808142762534226E-2</v>
      </c>
      <c r="K19" s="373">
        <f>IF(ISNUMBER((Tasas!E19-Datos!BG19)/Datos!BG19),(Tasas!E19-Datos!BG19)/Datos!BG19," - ")</f>
        <v>0.12345290530511459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0.41644266644411015</v>
      </c>
      <c r="E21" s="282">
        <f t="shared" si="1"/>
        <v>0.50230209268234782</v>
      </c>
      <c r="F21" s="282">
        <f t="shared" si="1"/>
        <v>0.53528019111868286</v>
      </c>
      <c r="G21" s="283">
        <f t="shared" si="1"/>
        <v>0.37553410649473451</v>
      </c>
      <c r="H21" s="289">
        <f t="shared" si="1"/>
        <v>0.4349753422955655</v>
      </c>
      <c r="I21" s="281">
        <f t="shared" si="1"/>
        <v>16.204098940343535</v>
      </c>
      <c r="J21" s="282">
        <f t="shared" si="1"/>
        <v>0.39881655101856978</v>
      </c>
      <c r="K21" s="283">
        <f t="shared" si="1"/>
        <v>4.2186833811962705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VL5WIP/kkYONME5HoYvzozdjfvTkcO4TzVVKzlpYJ2E2dNQ67X/qSkJ/ZvSnQ4vC26vHarEwu4Ijk+5A1+sdw==" saltValue="J+bPm2wHZ5VGr5kc0S9o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